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suario/Desktop/CONTABILIDAD DE GESTIÓN/"/>
    </mc:Choice>
  </mc:AlternateContent>
  <xr:revisionPtr revIDLastSave="0" documentId="13_ncr:1_{81B9E36C-BF19-134D-B6B0-E9353FFCAC8A}" xr6:coauthVersionLast="45" xr6:coauthVersionMax="45" xr10:uidLastSave="{00000000-0000-0000-0000-000000000000}"/>
  <bookViews>
    <workbookView xWindow="0" yWindow="460" windowWidth="38400" windowHeight="20020" firstSheet="2" activeTab="9" xr2:uid="{00000000-000D-0000-FFFF-FFFF00000000}"/>
  </bookViews>
  <sheets>
    <sheet name="Hoja1" sheetId="5" r:id="rId1"/>
    <sheet name="HERMES " sheetId="4" r:id="rId2"/>
    <sheet name="HEFESO" sheetId="2" r:id="rId3"/>
    <sheet name="SUP 3" sheetId="3" r:id="rId4"/>
    <sheet name="AUDITORIA XX" sheetId="6" r:id="rId5"/>
    <sheet name="MERCADOTECNIA" sheetId="7" r:id="rId6"/>
    <sheet name="SEÑOR LOPEZ" sheetId="8" r:id="rId7"/>
    <sheet name="ACADEMIA DE IDIOMAS " sheetId="9" r:id="rId8"/>
    <sheet name="NUEVE B" sheetId="10" r:id="rId9"/>
    <sheet name="AHUMADOS" sheetId="16" r:id="rId10"/>
    <sheet name="DULCESA" sheetId="11" r:id="rId11"/>
    <sheet name="FABRITEX" sheetId="12" r:id="rId12"/>
    <sheet name="CATERING" sheetId="13" r:id="rId13"/>
    <sheet name="KEISA" sheetId="14" r:id="rId14"/>
    <sheet name="BBB" sheetId="15" r:id="rId15"/>
    <sheet name="RINGSA" sheetId="18" r:id="rId16"/>
    <sheet name="CA" sheetId="19" r:id="rId17"/>
    <sheet name="FORINTOS " sheetId="17" r:id="rId18"/>
    <sheet name="VIUDO ALEGRE " sheetId="20" r:id="rId19"/>
    <sheet name="CARALINDA" sheetId="21" r:id="rId20"/>
    <sheet name="BOMBAS CANALS" sheetId="22" r:id="rId21"/>
    <sheet name="Hoja5" sheetId="23" r:id="rId22"/>
  </sheets>
  <calcPr calcId="191029"/>
</workbook>
</file>

<file path=xl/calcChain.xml><?xml version="1.0" encoding="utf-8"?>
<calcChain xmlns="http://schemas.openxmlformats.org/spreadsheetml/2006/main">
  <c r="B30" i="16" l="1"/>
  <c r="G37" i="12"/>
  <c r="D18" i="12"/>
  <c r="H12" i="3" l="1"/>
  <c r="F5" i="3"/>
  <c r="E71" i="21"/>
  <c r="E68" i="21"/>
  <c r="E75" i="21"/>
  <c r="C52" i="21"/>
  <c r="E41" i="21"/>
  <c r="D36" i="21"/>
  <c r="D33" i="21"/>
  <c r="C28" i="21"/>
  <c r="B20" i="21"/>
  <c r="B18" i="21"/>
  <c r="B16" i="21"/>
  <c r="B15" i="21"/>
  <c r="E38" i="21"/>
  <c r="B12" i="21"/>
  <c r="K11" i="21"/>
  <c r="G10" i="21"/>
  <c r="K9" i="21"/>
  <c r="K12" i="21"/>
  <c r="G9" i="21"/>
  <c r="K7" i="21"/>
  <c r="D36" i="17"/>
  <c r="B13" i="17"/>
  <c r="C12" i="17"/>
  <c r="E19" i="17"/>
  <c r="B12" i="17"/>
  <c r="B14" i="17"/>
  <c r="B10" i="17"/>
  <c r="G4" i="17"/>
  <c r="D2" i="17"/>
  <c r="B20" i="17"/>
  <c r="C118" i="20"/>
  <c r="C115" i="20"/>
  <c r="C117" i="20"/>
  <c r="C119" i="20"/>
  <c r="F107" i="20"/>
  <c r="F105" i="20"/>
  <c r="F103" i="20"/>
  <c r="F100" i="20"/>
  <c r="F97" i="20"/>
  <c r="F111" i="20"/>
  <c r="F69" i="20"/>
  <c r="F66" i="20"/>
  <c r="F63" i="20"/>
  <c r="F75" i="20"/>
  <c r="E81" i="20"/>
  <c r="E82" i="20"/>
  <c r="E53" i="20"/>
  <c r="E55" i="20"/>
  <c r="E57" i="20"/>
  <c r="D44" i="20"/>
  <c r="D40" i="20"/>
  <c r="D32" i="20"/>
  <c r="E25" i="20"/>
  <c r="E28" i="20"/>
  <c r="D31" i="20"/>
  <c r="D33" i="20"/>
  <c r="E24" i="20"/>
  <c r="F15" i="20"/>
  <c r="F13" i="20"/>
  <c r="F11" i="20"/>
  <c r="F8" i="20"/>
  <c r="F19" i="20"/>
  <c r="E54" i="20"/>
  <c r="F5" i="20"/>
  <c r="G73" i="22"/>
  <c r="E74" i="22"/>
  <c r="E76" i="22"/>
  <c r="E55" i="22"/>
  <c r="H28" i="22"/>
  <c r="C27" i="22"/>
  <c r="C18" i="22"/>
  <c r="E30" i="22"/>
  <c r="E47" i="22"/>
  <c r="E49" i="22"/>
  <c r="D15" i="22"/>
  <c r="B15" i="22"/>
  <c r="C14" i="22"/>
  <c r="C13" i="22"/>
  <c r="C26" i="22"/>
  <c r="D12" i="22"/>
  <c r="C12" i="22"/>
  <c r="C25" i="22"/>
  <c r="D11" i="22"/>
  <c r="C11" i="22"/>
  <c r="C15" i="22"/>
  <c r="H74" i="19"/>
  <c r="C72" i="19"/>
  <c r="C69" i="19"/>
  <c r="E60" i="19"/>
  <c r="D64" i="19"/>
  <c r="E57" i="19"/>
  <c r="D45" i="19"/>
  <c r="E39" i="19"/>
  <c r="D24" i="19"/>
  <c r="D22" i="19"/>
  <c r="E26" i="19"/>
  <c r="C28" i="19"/>
  <c r="D14" i="19"/>
  <c r="G11" i="19"/>
  <c r="D13" i="19"/>
  <c r="D15" i="19"/>
  <c r="F119" i="18"/>
  <c r="F117" i="18"/>
  <c r="B116" i="18"/>
  <c r="B118" i="18"/>
  <c r="F115" i="18"/>
  <c r="D115" i="18"/>
  <c r="B115" i="18"/>
  <c r="C107" i="18"/>
  <c r="B109" i="18"/>
  <c r="B107" i="18"/>
  <c r="D106" i="18"/>
  <c r="D107" i="18"/>
  <c r="D116" i="18"/>
  <c r="B106" i="18"/>
  <c r="E105" i="18"/>
  <c r="C105" i="18"/>
  <c r="E104" i="18"/>
  <c r="E107" i="18"/>
  <c r="D109" i="18"/>
  <c r="C104" i="18"/>
  <c r="E97" i="18"/>
  <c r="C97" i="18"/>
  <c r="E96" i="18"/>
  <c r="E98" i="18"/>
  <c r="C96" i="18"/>
  <c r="C98" i="18"/>
  <c r="E95" i="18"/>
  <c r="C95" i="18"/>
  <c r="H60" i="18"/>
  <c r="G60" i="18"/>
  <c r="F60" i="18"/>
  <c r="B60" i="18"/>
  <c r="I60" i="18"/>
  <c r="H58" i="18"/>
  <c r="F58" i="18"/>
  <c r="G58" i="18"/>
  <c r="B58" i="18"/>
  <c r="I58" i="18"/>
  <c r="H56" i="18"/>
  <c r="F56" i="18"/>
  <c r="G56" i="18"/>
  <c r="B56" i="18"/>
  <c r="H54" i="18"/>
  <c r="G54" i="18"/>
  <c r="F54" i="18"/>
  <c r="B54" i="18"/>
  <c r="I54" i="18"/>
  <c r="F38" i="18"/>
  <c r="D36" i="18"/>
  <c r="B36" i="18"/>
  <c r="E11" i="18"/>
  <c r="D11" i="18"/>
  <c r="C11" i="18"/>
  <c r="C12" i="18"/>
  <c r="C8" i="18"/>
  <c r="B6" i="18"/>
  <c r="B5" i="18"/>
  <c r="B45" i="18"/>
  <c r="C48" i="18"/>
  <c r="B4" i="18"/>
  <c r="D66" i="15"/>
  <c r="E66" i="15"/>
  <c r="E64" i="15"/>
  <c r="D60" i="15"/>
  <c r="D51" i="15"/>
  <c r="E51" i="15"/>
  <c r="D45" i="15"/>
  <c r="E49" i="15"/>
  <c r="G22" i="15"/>
  <c r="G24" i="15"/>
  <c r="D15" i="15"/>
  <c r="F100" i="14"/>
  <c r="F99" i="14"/>
  <c r="F101" i="14"/>
  <c r="E93" i="14"/>
  <c r="F92" i="14"/>
  <c r="A89" i="14"/>
  <c r="F91" i="14"/>
  <c r="A87" i="14"/>
  <c r="E84" i="14"/>
  <c r="F80" i="14"/>
  <c r="A80" i="14"/>
  <c r="F83" i="14"/>
  <c r="A78" i="14"/>
  <c r="E75" i="14"/>
  <c r="F72" i="14"/>
  <c r="F71" i="14"/>
  <c r="A71" i="14"/>
  <c r="F74" i="14"/>
  <c r="E63" i="14"/>
  <c r="E62" i="14"/>
  <c r="G61" i="14"/>
  <c r="E61" i="14"/>
  <c r="E58" i="14"/>
  <c r="B19" i="14"/>
  <c r="E56" i="14"/>
  <c r="E54" i="14"/>
  <c r="E52" i="14"/>
  <c r="E50" i="14"/>
  <c r="B15" i="14"/>
  <c r="C15" i="14"/>
  <c r="C27" i="14"/>
  <c r="D48" i="14"/>
  <c r="D40" i="14"/>
  <c r="B42" i="14"/>
  <c r="F38" i="14"/>
  <c r="G37" i="14"/>
  <c r="G36" i="14"/>
  <c r="G35" i="14"/>
  <c r="G38" i="14"/>
  <c r="G34" i="14"/>
  <c r="G33" i="14"/>
  <c r="I27" i="14"/>
  <c r="H27" i="14"/>
  <c r="C99" i="14"/>
  <c r="C102" i="14"/>
  <c r="G27" i="14"/>
  <c r="F27" i="14"/>
  <c r="E27" i="14"/>
  <c r="D27" i="14"/>
  <c r="B26" i="14"/>
  <c r="B25" i="14"/>
  <c r="B24" i="14"/>
  <c r="B23" i="14"/>
  <c r="B22" i="14"/>
  <c r="B21" i="14"/>
  <c r="B20" i="14"/>
  <c r="B18" i="14"/>
  <c r="B17" i="14"/>
  <c r="D16" i="14"/>
  <c r="B16" i="14"/>
  <c r="B14" i="14"/>
  <c r="B13" i="14"/>
  <c r="B12" i="14"/>
  <c r="B11" i="14"/>
  <c r="B10" i="14"/>
  <c r="B9" i="14"/>
  <c r="B8" i="14"/>
  <c r="B7" i="14"/>
  <c r="B6" i="14"/>
  <c r="B5" i="14"/>
  <c r="B4" i="14"/>
  <c r="B3" i="14"/>
  <c r="B27" i="14"/>
  <c r="G47" i="16"/>
  <c r="C47" i="16"/>
  <c r="D47" i="16"/>
  <c r="B47" i="16"/>
  <c r="D46" i="16"/>
  <c r="D45" i="16"/>
  <c r="D34" i="16"/>
  <c r="D33" i="16"/>
  <c r="D30" i="16"/>
  <c r="D29" i="16"/>
  <c r="D28" i="16"/>
  <c r="D27" i="16"/>
  <c r="D24" i="16"/>
  <c r="D22" i="16"/>
  <c r="C22" i="16"/>
  <c r="C24" i="16"/>
  <c r="L14" i="16"/>
  <c r="K14" i="16"/>
  <c r="J14" i="16"/>
  <c r="K15" i="16"/>
  <c r="I14" i="16"/>
  <c r="F14" i="16"/>
  <c r="E14" i="16"/>
  <c r="D48" i="16"/>
  <c r="G46" i="16"/>
  <c r="G48" i="16"/>
  <c r="D14" i="16"/>
  <c r="C14" i="16"/>
  <c r="B14" i="16"/>
  <c r="B48" i="16"/>
  <c r="C48" i="16"/>
  <c r="B49" i="16"/>
  <c r="B51" i="16"/>
  <c r="D49" i="16"/>
  <c r="D51" i="16"/>
  <c r="D53" i="16"/>
  <c r="K16" i="16"/>
  <c r="C49" i="16"/>
  <c r="C51" i="16"/>
  <c r="C116" i="13"/>
  <c r="C118" i="13"/>
  <c r="C114" i="13"/>
  <c r="B105" i="13"/>
  <c r="B93" i="13"/>
  <c r="B91" i="13"/>
  <c r="C90" i="13"/>
  <c r="B75" i="13"/>
  <c r="E67" i="13"/>
  <c r="C63" i="13"/>
  <c r="B63" i="13"/>
  <c r="D63" i="13"/>
  <c r="D62" i="13"/>
  <c r="C75" i="13"/>
  <c r="C62" i="13"/>
  <c r="C61" i="13"/>
  <c r="C60" i="13"/>
  <c r="C56" i="13"/>
  <c r="B56" i="13"/>
  <c r="C55" i="13"/>
  <c r="C54" i="13"/>
  <c r="H49" i="13"/>
  <c r="H48" i="13"/>
  <c r="B48" i="13"/>
  <c r="G47" i="13"/>
  <c r="B41" i="13"/>
  <c r="C45" i="13"/>
  <c r="E38" i="13"/>
  <c r="E31" i="13"/>
  <c r="B34" i="13"/>
  <c r="F22" i="13"/>
  <c r="F23" i="13"/>
  <c r="E22" i="13"/>
  <c r="E23" i="13"/>
  <c r="D22" i="13"/>
  <c r="D23" i="13"/>
  <c r="D25" i="13"/>
  <c r="C22" i="13"/>
  <c r="C24" i="13"/>
  <c r="C26" i="13"/>
  <c r="G16" i="13"/>
  <c r="C117" i="13"/>
  <c r="H12" i="13"/>
  <c r="G12" i="13"/>
  <c r="B12" i="13"/>
  <c r="B8" i="13"/>
  <c r="B7" i="13"/>
  <c r="B6" i="13"/>
  <c r="H5" i="13"/>
  <c r="H16" i="13"/>
  <c r="F5" i="13"/>
  <c r="F16" i="13"/>
  <c r="E5" i="13"/>
  <c r="E16" i="13"/>
  <c r="D5" i="13"/>
  <c r="D16" i="13"/>
  <c r="C5" i="13"/>
  <c r="C16" i="13"/>
  <c r="C119" i="13"/>
  <c r="B5" i="13"/>
  <c r="B16" i="13"/>
  <c r="F41" i="12"/>
  <c r="G41" i="12"/>
  <c r="F40" i="12"/>
  <c r="G40" i="12"/>
  <c r="F39" i="12"/>
  <c r="G39" i="12"/>
  <c r="F38" i="12"/>
  <c r="G38" i="12"/>
  <c r="F37" i="12"/>
  <c r="F42" i="12"/>
  <c r="B33" i="12"/>
  <c r="B23" i="12"/>
  <c r="B24" i="12"/>
  <c r="D126" i="10"/>
  <c r="F126" i="10"/>
  <c r="B126" i="10"/>
  <c r="B121" i="10"/>
  <c r="B114" i="10"/>
  <c r="F105" i="10"/>
  <c r="C102" i="10"/>
  <c r="B102" i="10"/>
  <c r="D93" i="10"/>
  <c r="B93" i="10"/>
  <c r="B88" i="10"/>
  <c r="B81" i="10"/>
  <c r="F72" i="10"/>
  <c r="C69" i="10"/>
  <c r="I70" i="10"/>
  <c r="B69" i="10"/>
  <c r="B62" i="10"/>
  <c r="D62" i="10"/>
  <c r="C68" i="10"/>
  <c r="D61" i="10"/>
  <c r="B68" i="10"/>
  <c r="B61" i="10"/>
  <c r="C60" i="10"/>
  <c r="B60" i="10"/>
  <c r="D60" i="10"/>
  <c r="C59" i="10"/>
  <c r="F56" i="10"/>
  <c r="E49" i="10"/>
  <c r="C49" i="10"/>
  <c r="D48" i="10"/>
  <c r="D49" i="10"/>
  <c r="B48" i="10"/>
  <c r="F48" i="10"/>
  <c r="D47" i="10"/>
  <c r="B47" i="10"/>
  <c r="B49" i="10"/>
  <c r="D41" i="10"/>
  <c r="B40" i="10"/>
  <c r="B42" i="10"/>
  <c r="D42" i="10"/>
  <c r="B35" i="10"/>
  <c r="D35" i="10"/>
  <c r="D34" i="10"/>
  <c r="F35" i="10"/>
  <c r="B33" i="10"/>
  <c r="G23" i="10"/>
  <c r="G22" i="10"/>
  <c r="H22" i="10"/>
  <c r="B18" i="10"/>
  <c r="B59" i="10"/>
  <c r="B63" i="10"/>
  <c r="D63" i="10"/>
  <c r="D17" i="10"/>
  <c r="C22" i="10"/>
  <c r="D16" i="10"/>
  <c r="B22" i="10"/>
  <c r="D15" i="10"/>
  <c r="K60" i="11"/>
  <c r="E59" i="11"/>
  <c r="B59" i="11"/>
  <c r="G58" i="11"/>
  <c r="D58" i="11"/>
  <c r="C44" i="11"/>
  <c r="F50" i="11"/>
  <c r="B44" i="11"/>
  <c r="B50" i="11"/>
  <c r="B52" i="11"/>
  <c r="P42" i="11"/>
  <c r="P41" i="11"/>
  <c r="P40" i="11"/>
  <c r="P43" i="11"/>
  <c r="C40" i="11"/>
  <c r="D40" i="11"/>
  <c r="B40" i="11"/>
  <c r="G33" i="11"/>
  <c r="C28" i="11"/>
  <c r="D28" i="11"/>
  <c r="B28" i="11"/>
  <c r="C27" i="11"/>
  <c r="D27" i="11"/>
  <c r="C41" i="11"/>
  <c r="D26" i="11"/>
  <c r="B41" i="11"/>
  <c r="C26" i="11"/>
  <c r="H24" i="11"/>
  <c r="J21" i="11"/>
  <c r="B12" i="11"/>
  <c r="J18" i="11"/>
  <c r="B11" i="11"/>
  <c r="F16" i="11"/>
  <c r="F17" i="11"/>
  <c r="E16" i="11"/>
  <c r="D16" i="11"/>
  <c r="C16" i="11"/>
  <c r="J13" i="11"/>
  <c r="B10" i="11"/>
  <c r="E13" i="11"/>
  <c r="D13" i="11"/>
  <c r="C13" i="11"/>
  <c r="C17" i="11"/>
  <c r="D26" i="9"/>
  <c r="D22" i="9"/>
  <c r="C22" i="9"/>
  <c r="B22" i="9"/>
  <c r="D21" i="9"/>
  <c r="C21" i="9"/>
  <c r="B21" i="9"/>
  <c r="H14" i="9"/>
  <c r="H15" i="9"/>
  <c r="H21" i="9"/>
  <c r="H13" i="9"/>
  <c r="H12" i="9"/>
  <c r="C35" i="8"/>
  <c r="B31" i="8"/>
  <c r="B30" i="8"/>
  <c r="B32" i="8"/>
  <c r="D23" i="8"/>
  <c r="C37" i="8"/>
  <c r="B23" i="8"/>
  <c r="D20" i="8"/>
  <c r="D12" i="8"/>
  <c r="C36" i="8"/>
  <c r="J50" i="7"/>
  <c r="B50" i="7"/>
  <c r="J49" i="7"/>
  <c r="B49" i="7"/>
  <c r="J48" i="7"/>
  <c r="J47" i="7"/>
  <c r="B48" i="7"/>
  <c r="B51" i="7"/>
  <c r="B42" i="7"/>
  <c r="B41" i="7"/>
  <c r="B40" i="7"/>
  <c r="B38" i="7"/>
  <c r="B43" i="7"/>
  <c r="D25" i="7"/>
  <c r="D18" i="7"/>
  <c r="D42" i="6"/>
  <c r="C48" i="6"/>
  <c r="C34" i="6"/>
  <c r="C35" i="6"/>
  <c r="B34" i="6"/>
  <c r="D34" i="6"/>
  <c r="C33" i="6"/>
  <c r="B33" i="6"/>
  <c r="B35" i="6"/>
  <c r="B29" i="6"/>
  <c r="C36" i="6"/>
  <c r="B28" i="6"/>
  <c r="B27" i="6"/>
  <c r="E10" i="6"/>
  <c r="C37" i="6"/>
  <c r="C43" i="6"/>
  <c r="B36" i="6"/>
  <c r="D36" i="6"/>
  <c r="D33" i="6"/>
  <c r="D35" i="6"/>
  <c r="B48" i="6"/>
  <c r="B37" i="6"/>
  <c r="C44" i="6"/>
  <c r="D37" i="6"/>
  <c r="B43" i="6"/>
  <c r="B44" i="6"/>
  <c r="D43" i="6"/>
  <c r="C49" i="6"/>
  <c r="B49" i="6"/>
  <c r="D44" i="6"/>
  <c r="C50" i="6"/>
  <c r="B50" i="6"/>
  <c r="C116" i="3"/>
  <c r="D117" i="3"/>
  <c r="C117" i="3"/>
  <c r="G110" i="3"/>
  <c r="G108" i="3"/>
  <c r="F109" i="3"/>
  <c r="G102" i="3"/>
  <c r="D92" i="3"/>
  <c r="D91" i="3"/>
  <c r="F137" i="3"/>
  <c r="E138" i="3"/>
  <c r="F138" i="3"/>
  <c r="E139" i="3"/>
  <c r="F139" i="3"/>
  <c r="D140" i="3"/>
  <c r="F140" i="3"/>
  <c r="E140" i="3"/>
  <c r="E143" i="3"/>
  <c r="E144" i="3"/>
  <c r="F144" i="3"/>
  <c r="F145" i="3"/>
  <c r="E153" i="3"/>
  <c r="D146" i="3"/>
  <c r="F146" i="3"/>
  <c r="E146" i="3"/>
  <c r="E152" i="3"/>
  <c r="D154" i="3"/>
  <c r="D160" i="3"/>
  <c r="E160" i="3"/>
  <c r="D161" i="3"/>
  <c r="D162" i="3"/>
  <c r="D164" i="3"/>
  <c r="E161" i="3"/>
  <c r="E162" i="3"/>
  <c r="E164" i="3"/>
  <c r="E176" i="3"/>
  <c r="E178" i="3"/>
  <c r="F169" i="3"/>
  <c r="D172" i="3"/>
  <c r="E175" i="3"/>
  <c r="F176" i="3"/>
  <c r="D178" i="3"/>
  <c r="E184" i="3"/>
  <c r="D186" i="3"/>
  <c r="C184" i="3"/>
  <c r="D159" i="3"/>
  <c r="E159" i="3"/>
  <c r="C152" i="3"/>
  <c r="K138" i="3"/>
  <c r="K139" i="3"/>
  <c r="K137" i="3"/>
  <c r="E129" i="3"/>
  <c r="E128" i="3"/>
  <c r="E127" i="3"/>
  <c r="E130" i="3"/>
  <c r="E132" i="3"/>
  <c r="D54" i="3"/>
  <c r="E52" i="3"/>
  <c r="E53" i="3"/>
  <c r="F53" i="3"/>
  <c r="B40" i="2"/>
  <c r="D8" i="5"/>
  <c r="C8" i="5"/>
  <c r="B8" i="5"/>
  <c r="D71" i="4"/>
  <c r="D73" i="4"/>
  <c r="D61" i="4"/>
  <c r="D62" i="4"/>
  <c r="F59" i="4"/>
  <c r="E54" i="4"/>
  <c r="E53" i="4"/>
  <c r="F52" i="4"/>
  <c r="F55" i="4"/>
  <c r="E55" i="4"/>
  <c r="E60" i="4"/>
  <c r="F49" i="4"/>
  <c r="E47" i="4"/>
  <c r="E46" i="4"/>
  <c r="E45" i="4"/>
  <c r="F44" i="4"/>
  <c r="F43" i="4"/>
  <c r="H10" i="4"/>
  <c r="D35" i="4"/>
  <c r="D25" i="4"/>
  <c r="D26" i="4"/>
  <c r="F23" i="4"/>
  <c r="E18" i="4"/>
  <c r="E17" i="4"/>
  <c r="E16" i="4"/>
  <c r="F15" i="4"/>
  <c r="F19" i="4"/>
  <c r="F12" i="4"/>
  <c r="E10" i="4"/>
  <c r="E9" i="4"/>
  <c r="E8" i="4"/>
  <c r="F7" i="4"/>
  <c r="F6" i="4"/>
  <c r="B14" i="2"/>
  <c r="E116" i="3"/>
  <c r="E84" i="3"/>
  <c r="C84" i="3"/>
  <c r="K70" i="3"/>
  <c r="K69" i="3"/>
  <c r="B31" i="2"/>
  <c r="B34" i="2"/>
  <c r="D21" i="2"/>
  <c r="C8" i="2"/>
  <c r="C5" i="2"/>
  <c r="C30" i="2"/>
  <c r="D118" i="3"/>
  <c r="D110" i="3"/>
  <c r="E107" i="3"/>
  <c r="E117" i="3"/>
  <c r="E118" i="3"/>
  <c r="F118" i="3"/>
  <c r="D104" i="3"/>
  <c r="F101" i="3"/>
  <c r="D86" i="3"/>
  <c r="D78" i="3"/>
  <c r="E75" i="3"/>
  <c r="D72" i="3"/>
  <c r="F69" i="3"/>
  <c r="D46" i="3"/>
  <c r="E44" i="3"/>
  <c r="D38" i="3"/>
  <c r="E36" i="3"/>
  <c r="D30" i="3"/>
  <c r="E28" i="3"/>
  <c r="D24" i="3"/>
  <c r="F18" i="3"/>
  <c r="F14" i="3"/>
  <c r="D59" i="3"/>
  <c r="F15" i="3"/>
  <c r="E59" i="3"/>
  <c r="D16" i="3"/>
  <c r="F12" i="3"/>
  <c r="F4" i="3"/>
  <c r="F7" i="3"/>
  <c r="E7" i="3"/>
  <c r="D7" i="2"/>
  <c r="D9" i="2"/>
  <c r="C13" i="2"/>
  <c r="C14" i="2"/>
  <c r="D14" i="2"/>
  <c r="D13" i="2"/>
  <c r="D20" i="2"/>
  <c r="D23" i="2"/>
  <c r="E19" i="4"/>
  <c r="E24" i="4"/>
  <c r="F24" i="4"/>
  <c r="C9" i="2"/>
  <c r="F60" i="4"/>
  <c r="E67" i="4"/>
  <c r="E61" i="4"/>
  <c r="F61" i="4"/>
  <c r="D74" i="4"/>
  <c r="D75" i="4"/>
  <c r="E62" i="4"/>
  <c r="F62" i="4"/>
  <c r="E31" i="4"/>
  <c r="E25" i="4"/>
  <c r="G23" i="4"/>
  <c r="D31" i="2"/>
  <c r="C33" i="2"/>
  <c r="D25" i="2"/>
  <c r="C31" i="2"/>
  <c r="E26" i="4"/>
  <c r="F26" i="4"/>
  <c r="F25" i="4"/>
  <c r="E36" i="4"/>
  <c r="E37" i="4"/>
  <c r="D33" i="2"/>
  <c r="B41" i="2"/>
  <c r="B42" i="2"/>
  <c r="C41" i="2"/>
  <c r="C42" i="2"/>
  <c r="C34" i="2"/>
  <c r="D34" i="2"/>
  <c r="G25" i="4"/>
  <c r="D36" i="4"/>
  <c r="D37" i="4"/>
  <c r="K71" i="3"/>
  <c r="F52" i="3"/>
  <c r="E29" i="3"/>
  <c r="F28" i="3"/>
  <c r="D60" i="3"/>
  <c r="E45" i="3"/>
  <c r="F45" i="3"/>
  <c r="E93" i="3"/>
  <c r="F44" i="3"/>
  <c r="D93" i="3"/>
  <c r="F16" i="3"/>
  <c r="E91" i="3"/>
  <c r="D94" i="3"/>
  <c r="D96" i="3"/>
  <c r="E30" i="3"/>
  <c r="F29" i="3"/>
  <c r="E60" i="3"/>
  <c r="E92" i="3"/>
  <c r="E94" i="3"/>
  <c r="F108" i="3"/>
  <c r="E96" i="3"/>
  <c r="E108" i="3"/>
  <c r="E110" i="3"/>
  <c r="F110" i="3"/>
  <c r="E102" i="3"/>
  <c r="F102" i="3"/>
  <c r="E104" i="3"/>
  <c r="F104" i="3"/>
  <c r="E103" i="3"/>
  <c r="F103" i="3"/>
  <c r="C118" i="3"/>
  <c r="E154" i="3"/>
  <c r="F154" i="3"/>
  <c r="E170" i="3"/>
  <c r="F170" i="3"/>
  <c r="E172" i="3"/>
  <c r="F172" i="3"/>
  <c r="E171" i="3"/>
  <c r="F171" i="3"/>
  <c r="C185" i="3"/>
  <c r="C186" i="3"/>
  <c r="F178" i="3"/>
  <c r="F177" i="3"/>
  <c r="E185" i="3"/>
  <c r="E186" i="3"/>
  <c r="F186" i="3"/>
  <c r="C153" i="3"/>
  <c r="C154" i="3"/>
  <c r="G104" i="3"/>
  <c r="C38" i="8"/>
  <c r="C39" i="8"/>
  <c r="J51" i="7"/>
  <c r="C26" i="9"/>
  <c r="C27" i="9"/>
  <c r="E36" i="9"/>
  <c r="B26" i="9"/>
  <c r="B27" i="9"/>
  <c r="E35" i="9"/>
  <c r="C41" i="9"/>
  <c r="D27" i="9"/>
  <c r="D44" i="9"/>
  <c r="D43" i="9"/>
  <c r="D45" i="9"/>
  <c r="F49" i="10"/>
  <c r="G25" i="10"/>
  <c r="C23" i="10"/>
  <c r="C24" i="10"/>
  <c r="G24" i="10"/>
  <c r="D68" i="10"/>
  <c r="D70" i="10"/>
  <c r="B70" i="10"/>
  <c r="C70" i="10"/>
  <c r="D22" i="10"/>
  <c r="D18" i="10"/>
  <c r="D59" i="10"/>
  <c r="F93" i="10"/>
  <c r="F47" i="10"/>
  <c r="B17" i="11"/>
  <c r="B18" i="11"/>
  <c r="H65" i="11"/>
  <c r="F52" i="11"/>
  <c r="D12" i="11"/>
  <c r="D17" i="11"/>
  <c r="E12" i="11"/>
  <c r="E17" i="11"/>
  <c r="G32" i="11"/>
  <c r="G34" i="11"/>
  <c r="C18" i="11"/>
  <c r="D41" i="11"/>
  <c r="H58" i="11"/>
  <c r="C26" i="10"/>
  <c r="C40" i="10"/>
  <c r="D40" i="10"/>
  <c r="C72" i="10"/>
  <c r="C86" i="10"/>
  <c r="D86" i="10"/>
  <c r="C87" i="10"/>
  <c r="B23" i="10"/>
  <c r="G26" i="10"/>
  <c r="D79" i="10"/>
  <c r="G80" i="10"/>
  <c r="C80" i="10"/>
  <c r="B72" i="10"/>
  <c r="C79" i="10"/>
  <c r="K61" i="11"/>
  <c r="K62" i="11"/>
  <c r="D18" i="11"/>
  <c r="H32" i="11"/>
  <c r="B42" i="11"/>
  <c r="I32" i="11"/>
  <c r="C42" i="11"/>
  <c r="C43" i="11"/>
  <c r="C45" i="11"/>
  <c r="G50" i="11"/>
  <c r="H63" i="11"/>
  <c r="E18" i="11"/>
  <c r="F18" i="11"/>
  <c r="C81" i="10"/>
  <c r="D81" i="10"/>
  <c r="D80" i="10"/>
  <c r="B94" i="10"/>
  <c r="C88" i="10"/>
  <c r="D88" i="10"/>
  <c r="D87" i="10"/>
  <c r="D94" i="10"/>
  <c r="D23" i="10"/>
  <c r="B24" i="10"/>
  <c r="D61" i="11"/>
  <c r="G61" i="11"/>
  <c r="G51" i="11"/>
  <c r="G52" i="11"/>
  <c r="H52" i="11"/>
  <c r="H50" i="11"/>
  <c r="D42" i="11"/>
  <c r="B43" i="11"/>
  <c r="B101" i="10"/>
  <c r="D95" i="10"/>
  <c r="C101" i="10"/>
  <c r="C103" i="10"/>
  <c r="D24" i="10"/>
  <c r="B26" i="10"/>
  <c r="C33" i="10"/>
  <c r="D33" i="10"/>
  <c r="F33" i="10"/>
  <c r="F94" i="10"/>
  <c r="F95" i="10"/>
  <c r="B95" i="10"/>
  <c r="D43" i="11"/>
  <c r="D50" i="11"/>
  <c r="C51" i="11"/>
  <c r="B45" i="11"/>
  <c r="C50" i="11"/>
  <c r="F59" i="11"/>
  <c r="H51" i="11"/>
  <c r="G59" i="11"/>
  <c r="G60" i="11"/>
  <c r="H61" i="11"/>
  <c r="D119" i="10"/>
  <c r="C120" i="10"/>
  <c r="C105" i="10"/>
  <c r="C119" i="10"/>
  <c r="D101" i="10"/>
  <c r="D103" i="10"/>
  <c r="B103" i="10"/>
  <c r="C59" i="11"/>
  <c r="C52" i="11"/>
  <c r="D52" i="11"/>
  <c r="D51" i="11"/>
  <c r="D59" i="11"/>
  <c r="D112" i="10"/>
  <c r="G113" i="10"/>
  <c r="C113" i="10"/>
  <c r="B105" i="10"/>
  <c r="C112" i="10"/>
  <c r="D120" i="10"/>
  <c r="D127" i="10"/>
  <c r="D128" i="10"/>
  <c r="C121" i="10"/>
  <c r="D121" i="10"/>
  <c r="H59" i="11"/>
  <c r="D60" i="11"/>
  <c r="H60" i="11"/>
  <c r="D113" i="10"/>
  <c r="B127" i="10"/>
  <c r="C114" i="10"/>
  <c r="D114" i="10"/>
  <c r="F127" i="10"/>
  <c r="F128" i="10"/>
  <c r="B128" i="10"/>
  <c r="D17" i="13"/>
  <c r="B70" i="13"/>
  <c r="B71" i="13"/>
  <c r="E17" i="13"/>
  <c r="C83" i="13"/>
  <c r="E18" i="13"/>
  <c r="B98" i="13"/>
  <c r="F18" i="13"/>
  <c r="F17" i="13"/>
  <c r="F35" i="13"/>
  <c r="F33" i="13"/>
  <c r="F34" i="13"/>
  <c r="F36" i="13"/>
  <c r="F37" i="13"/>
  <c r="C43" i="13"/>
  <c r="C47" i="13"/>
  <c r="D24" i="13"/>
  <c r="C44" i="13"/>
  <c r="C46" i="13"/>
  <c r="C23" i="13"/>
  <c r="D22" i="12"/>
  <c r="D21" i="12"/>
  <c r="D20" i="12"/>
  <c r="D19" i="12"/>
  <c r="G42" i="12"/>
  <c r="C48" i="13"/>
  <c r="F38" i="13"/>
  <c r="F24" i="13"/>
  <c r="F26" i="13"/>
  <c r="F25" i="13"/>
  <c r="E25" i="13"/>
  <c r="E24" i="13"/>
  <c r="E26" i="13"/>
  <c r="E68" i="13"/>
  <c r="E69" i="13"/>
  <c r="C76" i="13"/>
  <c r="C77" i="13"/>
  <c r="D26" i="13"/>
  <c r="D27" i="13"/>
  <c r="D23" i="12"/>
  <c r="C78" i="13"/>
  <c r="C82" i="13"/>
  <c r="B76" i="13"/>
  <c r="B77" i="13"/>
  <c r="E70" i="13"/>
  <c r="B78" i="13"/>
  <c r="C81" i="13"/>
  <c r="C84" i="13"/>
  <c r="D91" i="13"/>
  <c r="C92" i="13"/>
  <c r="C86" i="13"/>
  <c r="C91" i="13"/>
  <c r="D92" i="13"/>
  <c r="B97" i="13"/>
  <c r="B99" i="13"/>
  <c r="C93" i="13"/>
  <c r="D93" i="13"/>
  <c r="D105" i="13"/>
  <c r="D106" i="13"/>
  <c r="B101" i="13"/>
  <c r="C105" i="13"/>
  <c r="C106" i="13"/>
  <c r="F36" i="3"/>
  <c r="D61" i="3"/>
  <c r="D62" i="3"/>
  <c r="D64" i="3"/>
  <c r="E37" i="3"/>
  <c r="F37" i="3"/>
  <c r="E61" i="3"/>
  <c r="E62" i="3"/>
  <c r="E64" i="3"/>
  <c r="E76" i="3"/>
  <c r="F76" i="3"/>
  <c r="F77" i="3"/>
  <c r="E85" i="3"/>
  <c r="E86" i="3"/>
  <c r="F86" i="3"/>
  <c r="E78" i="3"/>
  <c r="F78" i="3"/>
  <c r="E71" i="3"/>
  <c r="F71" i="3"/>
  <c r="C85" i="3"/>
  <c r="C86" i="3"/>
  <c r="E70" i="3"/>
  <c r="F70" i="3"/>
  <c r="E72" i="3"/>
  <c r="F72" i="3"/>
  <c r="D17" i="19"/>
  <c r="K74" i="19"/>
  <c r="E15" i="19"/>
  <c r="H20" i="19"/>
  <c r="E7" i="18"/>
  <c r="E8" i="18"/>
  <c r="E12" i="18"/>
  <c r="D17" i="18"/>
  <c r="D7" i="18"/>
  <c r="F118" i="18"/>
  <c r="C118" i="18"/>
  <c r="I56" i="18"/>
  <c r="E116" i="18"/>
  <c r="F116" i="18"/>
  <c r="G116" i="18"/>
  <c r="D118" i="18"/>
  <c r="E118" i="18"/>
  <c r="F40" i="18"/>
  <c r="G40" i="18"/>
  <c r="C116" i="18"/>
  <c r="F36" i="18"/>
  <c r="E67" i="15"/>
  <c r="E52" i="15"/>
  <c r="E45" i="14"/>
  <c r="E46" i="14"/>
  <c r="E44" i="14"/>
  <c r="E47" i="14"/>
  <c r="F70" i="14"/>
  <c r="F75" i="14"/>
  <c r="F73" i="14"/>
  <c r="F81" i="14"/>
  <c r="F89" i="14"/>
  <c r="F79" i="14"/>
  <c r="F84" i="14"/>
  <c r="F82" i="14"/>
  <c r="F90" i="14"/>
  <c r="F88" i="14"/>
  <c r="F93" i="14"/>
  <c r="D8" i="18"/>
  <c r="D12" i="18"/>
  <c r="D16" i="18"/>
  <c r="B7" i="18"/>
  <c r="F120" i="18"/>
  <c r="G118" i="18"/>
  <c r="C124" i="18"/>
  <c r="F17" i="18"/>
  <c r="C23" i="18"/>
  <c r="E17" i="18"/>
  <c r="E48" i="14"/>
  <c r="G17" i="18"/>
  <c r="B23" i="18"/>
  <c r="F16" i="18"/>
  <c r="C22" i="18"/>
  <c r="C24" i="18"/>
  <c r="E16" i="18"/>
  <c r="G16" i="18"/>
  <c r="B22" i="18"/>
  <c r="B24" i="18"/>
  <c r="C26" i="18"/>
  <c r="D37" i="18"/>
  <c r="D39" i="18"/>
  <c r="E39" i="18"/>
  <c r="E37" i="18"/>
  <c r="B37" i="18"/>
  <c r="B26" i="18"/>
  <c r="C85" i="18"/>
  <c r="C86" i="18"/>
  <c r="C88" i="18"/>
  <c r="F37" i="18"/>
  <c r="G37" i="18"/>
  <c r="C37" i="18"/>
  <c r="B39" i="18"/>
  <c r="C39" i="18"/>
  <c r="F39" i="18"/>
  <c r="F41" i="18"/>
  <c r="G41" i="18"/>
  <c r="G39" i="18"/>
  <c r="H39" i="18"/>
  <c r="B46" i="18"/>
  <c r="C49" i="18"/>
  <c r="E48" i="18"/>
  <c r="E39" i="21"/>
  <c r="F38" i="21"/>
  <c r="B17" i="21"/>
  <c r="B19" i="21"/>
  <c r="B21" i="21"/>
  <c r="D37" i="17"/>
  <c r="E36" i="17"/>
  <c r="E28" i="17"/>
  <c r="E24" i="17"/>
  <c r="H7" i="17"/>
  <c r="H8" i="17"/>
  <c r="B18" i="17"/>
  <c r="G32" i="17"/>
  <c r="D34" i="20"/>
  <c r="F20" i="22"/>
  <c r="C24" i="22"/>
  <c r="C28" i="22"/>
  <c r="E35" i="22"/>
  <c r="E37" i="22"/>
  <c r="E56" i="22"/>
  <c r="E58" i="22"/>
  <c r="E60" i="22"/>
  <c r="D32" i="21"/>
  <c r="E32" i="21"/>
  <c r="D35" i="21"/>
  <c r="E35" i="21"/>
  <c r="B24" i="9"/>
</calcChain>
</file>

<file path=xl/sharedStrings.xml><?xml version="1.0" encoding="utf-8"?>
<sst xmlns="http://schemas.openxmlformats.org/spreadsheetml/2006/main" count="2179" uniqueCount="1193">
  <si>
    <t>SUPUESTO 1</t>
  </si>
  <si>
    <t>HERMES</t>
  </si>
  <si>
    <t>UNIDADES</t>
  </si>
  <si>
    <t>U.M./U</t>
  </si>
  <si>
    <t>TOTAL</t>
  </si>
  <si>
    <t>EXISTENCIAS INICIALES</t>
  </si>
  <si>
    <t>COMPRAS</t>
  </si>
  <si>
    <t>TRANSPORTES</t>
  </si>
  <si>
    <t>RAPPELS</t>
  </si>
  <si>
    <t>DESCUENTOS S/C P.P</t>
  </si>
  <si>
    <t>COSTE DE COMPRA</t>
  </si>
  <si>
    <t>TOTAL COSTE COMPRA</t>
  </si>
  <si>
    <t>CONSUMOS</t>
  </si>
  <si>
    <t>EXISTENCIAS FINALES</t>
  </si>
  <si>
    <t>Ei+ENTRADAS=EF+SALIDAS</t>
  </si>
  <si>
    <t>COSTE MEDIO PONDERADO</t>
  </si>
  <si>
    <t>VENTAS NETAS</t>
  </si>
  <si>
    <t xml:space="preserve">  =  MARGEN BRUTO</t>
  </si>
  <si>
    <t>SUPUESTO 2</t>
  </si>
  <si>
    <t>HEFESO</t>
  </si>
  <si>
    <t>MATERIAS PRIMAS</t>
  </si>
  <si>
    <t>KG</t>
  </si>
  <si>
    <t>UM./KG</t>
  </si>
  <si>
    <t>TOTAL COSTE DE COMPRAS</t>
  </si>
  <si>
    <t>MATERIAS PRIMAS CONSUMIDAS C.M.P.</t>
  </si>
  <si>
    <t>CONSUMO MATERIAS PRIMAS</t>
  </si>
  <si>
    <t>COSTE INDUSTRIAL DEL PRODUCTO C.I.P</t>
  </si>
  <si>
    <t>MATERIA PRIMA CONSUMIDA</t>
  </si>
  <si>
    <t xml:space="preserve"> +MANO DE OBRA DIRECTA</t>
  </si>
  <si>
    <t xml:space="preserve"> + GASTOS GENERALES FABRIC</t>
  </si>
  <si>
    <t>C.I.P.</t>
  </si>
  <si>
    <t>Nº UNIDADES PRODUCIDAS</t>
  </si>
  <si>
    <t>COSTE UNITARIO (UM./UNIDAD)</t>
  </si>
  <si>
    <t>COSTE INDUSTRIAL DEL PRODUCTO VENDIDO C.I.P.V</t>
  </si>
  <si>
    <t>UM./U</t>
  </si>
  <si>
    <t>PRODUCCION</t>
  </si>
  <si>
    <t>CONSUMO DE PRODUCTOS TERMINADOS</t>
  </si>
  <si>
    <t>VENTAS DE PRODUCTOS TDOS</t>
  </si>
  <si>
    <t>EXIST FINALES PROD TDOS</t>
  </si>
  <si>
    <t>MARGEN INDUSTRIAL</t>
  </si>
  <si>
    <t>UNITARIO</t>
  </si>
  <si>
    <t xml:space="preserve"> - C.I.P.V.</t>
  </si>
  <si>
    <t xml:space="preserve"> = MARGEN BRUTO</t>
  </si>
  <si>
    <t>PRODUCTO A</t>
  </si>
  <si>
    <t>PRODUCTO B</t>
  </si>
  <si>
    <t>EXISTENCIAS FINALES MM.PP</t>
  </si>
  <si>
    <t>MOD</t>
  </si>
  <si>
    <t>HORAS</t>
  </si>
  <si>
    <t>UM./H</t>
  </si>
  <si>
    <t>G.G.F.</t>
  </si>
  <si>
    <t>EN FUNCION DE LAS HORAS</t>
  </si>
  <si>
    <t>EN FUNCION DE LA PRODUCCION</t>
  </si>
  <si>
    <t>PRODUCTOS TERMINADOS A</t>
  </si>
  <si>
    <t>Nº UNIDADES VENDIDAS</t>
  </si>
  <si>
    <t>PRODUCTOS TERMINADOS B</t>
  </si>
  <si>
    <t>PRODUTO B</t>
  </si>
  <si>
    <t>Uds producidas</t>
  </si>
  <si>
    <t>EI+E=S+EF</t>
  </si>
  <si>
    <t>COSTE MERCADERA VENDIDA</t>
  </si>
  <si>
    <t>COSTE MERCS VENDIDA</t>
  </si>
  <si>
    <t xml:space="preserve">SALIDAS </t>
  </si>
  <si>
    <t>CMP</t>
  </si>
  <si>
    <t xml:space="preserve">EXISTENCIAS FINALES </t>
  </si>
  <si>
    <t>(20000*1750)+(60000*2100)</t>
  </si>
  <si>
    <t>20000+60000</t>
  </si>
  <si>
    <t>35000000+126000000</t>
  </si>
  <si>
    <t xml:space="preserve">CUENTA DE RESULTADOS </t>
  </si>
  <si>
    <t xml:space="preserve"> - C.OSTE DE VENTA</t>
  </si>
  <si>
    <t>CMP=((700x490)+(3,500x502))/700+3,500=500 UM./Kg</t>
  </si>
  <si>
    <t>B)</t>
  </si>
  <si>
    <t>F)</t>
  </si>
  <si>
    <t>1500*1000</t>
  </si>
  <si>
    <t>C)</t>
  </si>
  <si>
    <t xml:space="preserve">CMP=((200x3500)+(1,000x4100))/200+1,000= </t>
  </si>
  <si>
    <t>D)</t>
  </si>
  <si>
    <t>(200x 27,5)+(3600x30)</t>
  </si>
  <si>
    <t>(200x 27,5)+(3600x30,56)</t>
  </si>
  <si>
    <t>IVA SOPORTADO</t>
  </si>
  <si>
    <t>VENTAS DEL PERIODO+ IVA</t>
  </si>
  <si>
    <t xml:space="preserve">RAPPEL POR COMPLRAS </t>
  </si>
  <si>
    <t>RAPPELS  SC</t>
  </si>
  <si>
    <t>DESCUENTOS SC P.P</t>
  </si>
  <si>
    <t xml:space="preserve">UNITARIOS </t>
  </si>
  <si>
    <t>EI+ENTRADAS=SALIDAS+EF</t>
  </si>
  <si>
    <t>DESCUENTOS SOBRE VENTAS P.P</t>
  </si>
  <si>
    <t>(20000*1750)+(60000*2150)</t>
  </si>
  <si>
    <t>VENTAS BRUTA</t>
  </si>
  <si>
    <t>VENTA NETA</t>
  </si>
  <si>
    <t>4 pax</t>
  </si>
  <si>
    <t>GASTO</t>
  </si>
  <si>
    <t>PREPAGABLES</t>
  </si>
  <si>
    <t>ALQUILER</t>
  </si>
  <si>
    <t>ARRENDAMIENTOS</t>
  </si>
  <si>
    <t>BANCOS</t>
  </si>
  <si>
    <t>DB</t>
  </si>
  <si>
    <t>CR</t>
  </si>
  <si>
    <t xml:space="preserve">ACREEDORES DIVERSOS </t>
  </si>
  <si>
    <t xml:space="preserve">BANCOS </t>
  </si>
  <si>
    <t>COSTE FIJO</t>
  </si>
  <si>
    <t xml:space="preserve">COSTE VARIABLES </t>
  </si>
  <si>
    <t>5 PAX</t>
  </si>
  <si>
    <t>3 PAX</t>
  </si>
  <si>
    <t>CTE VBLE</t>
  </si>
  <si>
    <t>COSTE  VBLE UNITARIO</t>
  </si>
  <si>
    <t xml:space="preserve">COSTE VBLE TOTAL </t>
  </si>
  <si>
    <t>CONSTANTE  DENTRO DEL RANGO</t>
  </si>
  <si>
    <t>COSTE FIJO TOTAL</t>
  </si>
  <si>
    <t>COSTE FIJO UNITARIO</t>
  </si>
  <si>
    <t xml:space="preserve">1200 €ANUALES </t>
  </si>
  <si>
    <t>NOVIEMBRE</t>
  </si>
  <si>
    <t>INGRESOS POR ARREND</t>
  </si>
  <si>
    <t xml:space="preserve">INGRESOS ANTICPADOS </t>
  </si>
  <si>
    <t>NOV+DI</t>
  </si>
  <si>
    <t>****</t>
  </si>
  <si>
    <t>*****</t>
  </si>
  <si>
    <t xml:space="preserve">SUPUESTO 3  </t>
  </si>
  <si>
    <t>EN FUNCION DE LA MMPP CONSUMIDA</t>
  </si>
  <si>
    <t xml:space="preserve">HORAS </t>
  </si>
  <si>
    <t>UDS PRODUCIDAS</t>
  </si>
  <si>
    <t>(200x 275)+(3600x300,56)</t>
  </si>
  <si>
    <t>Nº UNIDADES VENDIDAS/CTE DE VENTA</t>
  </si>
  <si>
    <t xml:space="preserve">Nº UNIDADES VENDIDAS/CTE DE VENTAS </t>
  </si>
  <si>
    <t xml:space="preserve">Recursos económicos </t>
  </si>
  <si>
    <t xml:space="preserve">cantidad </t>
  </si>
  <si>
    <t xml:space="preserve">€/unidad </t>
  </si>
  <si>
    <t xml:space="preserve">€/ año </t>
  </si>
  <si>
    <t>horas de trabajo auditoría 1</t>
  </si>
  <si>
    <t>300 horas</t>
  </si>
  <si>
    <t>25€/hora</t>
  </si>
  <si>
    <t>horas de trabajo auditoría 2</t>
  </si>
  <si>
    <t>500 horas</t>
  </si>
  <si>
    <t>25 €/hora</t>
  </si>
  <si>
    <t>Dietas de la auditoría 1</t>
  </si>
  <si>
    <t>20 días</t>
  </si>
  <si>
    <t>30€/día</t>
  </si>
  <si>
    <t>Dietas de la auditoría 2</t>
  </si>
  <si>
    <t>30 días</t>
  </si>
  <si>
    <t>35€/día</t>
  </si>
  <si>
    <t>Alquiler del despacho (*)</t>
  </si>
  <si>
    <t>seguro contra incendios y robos</t>
  </si>
  <si>
    <t>publicidad de la empresa (*)</t>
  </si>
  <si>
    <t>comunicaciones (*)</t>
  </si>
  <si>
    <t>OBJETIVOS DE COSTE</t>
  </si>
  <si>
    <t>LOS TRABAJOS DE AUDITORIA</t>
  </si>
  <si>
    <t>SUJETO DE COSTE</t>
  </si>
  <si>
    <t xml:space="preserve">LA EMPRESA DE AUDITORIA </t>
  </si>
  <si>
    <t>FACTORES DE COSTE DIRECTOS</t>
  </si>
  <si>
    <t>MAGNITUD TECNICA</t>
  </si>
  <si>
    <t>MAGNITUD ECONOMICA</t>
  </si>
  <si>
    <t>EUROS</t>
  </si>
  <si>
    <t>DIAS</t>
  </si>
  <si>
    <t>FACTORES DE COSTES INDIRECTOS</t>
  </si>
  <si>
    <t xml:space="preserve">Alquiler del despacho </t>
  </si>
  <si>
    <t>publicidad de la empresa</t>
  </si>
  <si>
    <t xml:space="preserve">comunicaciones </t>
  </si>
  <si>
    <t xml:space="preserve">TOTAL DE COSTES INDIRECTOS </t>
  </si>
  <si>
    <t xml:space="preserve">HORAS TRABAJADAS </t>
  </si>
  <si>
    <t xml:space="preserve">COSTE POR HORA </t>
  </si>
  <si>
    <t xml:space="preserve">COSTE DE PRODUCCION </t>
  </si>
  <si>
    <t>TRABAJOS DE AUDITORIA 1</t>
  </si>
  <si>
    <t>TRABAJOS DE AUDITORIA 2</t>
  </si>
  <si>
    <t>DIETAS</t>
  </si>
  <si>
    <t xml:space="preserve">COSTES DIRECTOS </t>
  </si>
  <si>
    <t xml:space="preserve">COSTES INDIRECTOS </t>
  </si>
  <si>
    <t>COSTE TOTAL DEL TRAB AUDITORIA</t>
  </si>
  <si>
    <t xml:space="preserve">INGRESOS </t>
  </si>
  <si>
    <t>COSTE PROD</t>
  </si>
  <si>
    <t>RDO EXPLOTACION</t>
  </si>
  <si>
    <t xml:space="preserve">Previsión Recursos económicos </t>
  </si>
  <si>
    <t xml:space="preserve">Total (€) </t>
  </si>
  <si>
    <t>horas de encuesta</t>
  </si>
  <si>
    <t>600 horas</t>
  </si>
  <si>
    <t>15€/hora</t>
  </si>
  <si>
    <t>horas de tratamiento de datos</t>
  </si>
  <si>
    <t>20 €/hora</t>
  </si>
  <si>
    <t>Dietas de viajes</t>
  </si>
  <si>
    <t>80 días</t>
  </si>
  <si>
    <t>Material de oficina para las encuestas</t>
  </si>
  <si>
    <t>Coste total</t>
  </si>
  <si>
    <t>A 31 de diciembre se ha realizado el 40% del estudio habiendo empleado los siguientes recursos</t>
  </si>
  <si>
    <t xml:space="preserve">Recursos económicos empleados </t>
  </si>
  <si>
    <t xml:space="preserve">Total(€) </t>
  </si>
  <si>
    <t>400 horas</t>
  </si>
  <si>
    <t>100 horas</t>
  </si>
  <si>
    <t>40 días</t>
  </si>
  <si>
    <t>¿LA EMPRESA DEBERÁ DE INVERTIR EN EL ESTUDIO?</t>
  </si>
  <si>
    <t>SI</t>
  </si>
  <si>
    <t>POR QUÉ VALOR?</t>
  </si>
  <si>
    <t xml:space="preserve">ACTIVAMOS </t>
  </si>
  <si>
    <t>ACTIVO</t>
  </si>
  <si>
    <t>BB DHO</t>
  </si>
  <si>
    <t>INVERSION</t>
  </si>
  <si>
    <t>COSTE TOTAL A 31/12</t>
  </si>
  <si>
    <t>SUPONIENDO QUE NO HA HABIDO MAS GASTOS  CUÁL ES EL RESULTADO AÑO 1</t>
  </si>
  <si>
    <t xml:space="preserve">ANALITICA </t>
  </si>
  <si>
    <t>CUENTA DE RESULTADOS AÑO 1</t>
  </si>
  <si>
    <t>COSTE DE PRODUCCION</t>
  </si>
  <si>
    <t>DEBE</t>
  </si>
  <si>
    <t>HABER</t>
  </si>
  <si>
    <t>VARIACION DE EXISTENCIAS  DE PC</t>
  </si>
  <si>
    <t>EI DE PP EN CURSO</t>
  </si>
  <si>
    <t>CUENTA DE RDOS FINANCERA X1</t>
  </si>
  <si>
    <t>EF PPCC</t>
  </si>
  <si>
    <t>VARIACION DE EXISTENCAS P EN CURSO</t>
  </si>
  <si>
    <t>GASTOS IMPUTADOS</t>
  </si>
  <si>
    <t>INGRESO</t>
  </si>
  <si>
    <t xml:space="preserve">SUELDOS Y SALARIOS </t>
  </si>
  <si>
    <t>MATERIAL CONSUMIDO</t>
  </si>
  <si>
    <t>RESULTADO DEL EJERCICIO</t>
  </si>
  <si>
    <t>PARA EL AÑO  X2</t>
  </si>
  <si>
    <t>El Señor López tiene un quiosco en la calle XX y en enero:</t>
  </si>
  <si>
    <t> Ha comprado 100 cajas por 3€/unidad + 21% de IVA</t>
  </si>
  <si>
    <t> Ha pagado 200€ y el resto lo pagará en el mes de febrero</t>
  </si>
  <si>
    <t> Ha vendido 80 cajas por 5€/unidad + 21% de IVA y las cobrará en marzo</t>
  </si>
  <si>
    <t>El Sr López quiere saber:</t>
  </si>
  <si>
    <t>a) ¿Cuánto es el coste de las cajas que ha comprado?</t>
  </si>
  <si>
    <t>COSTE DE LA MERCADERIA COMPRADA</t>
  </si>
  <si>
    <t>ENERO</t>
  </si>
  <si>
    <t>CAJAS</t>
  </si>
  <si>
    <t>CU</t>
  </si>
  <si>
    <t>COSTE TOTAL</t>
  </si>
  <si>
    <t>PAGADO</t>
  </si>
  <si>
    <t>CREDITO FEBRERO</t>
  </si>
  <si>
    <t>b) ¿Cuál es el coste de las cajas que ha vendido?</t>
  </si>
  <si>
    <t>COSTE DE LA MERCADERIA VENDIDA</t>
  </si>
  <si>
    <t xml:space="preserve">COSTE DE VENTAS </t>
  </si>
  <si>
    <t>E F</t>
  </si>
  <si>
    <t>¿Cuál es el resultado que ha obtenido en enero? ¿Cómo lo refleja la contabilidad financiera?</t>
  </si>
  <si>
    <t>COSTE DE VENTA</t>
  </si>
  <si>
    <t xml:space="preserve">CUENTA DE RDOS FINANCERA </t>
  </si>
  <si>
    <t xml:space="preserve">COMPRA DE MERCADERAS </t>
  </si>
  <si>
    <t xml:space="preserve">VARIACION DE EXISTENCAS </t>
  </si>
  <si>
    <t>CONSUMO DE MERCS</t>
  </si>
  <si>
    <t>curso inglés</t>
  </si>
  <si>
    <t>curso de chino</t>
  </si>
  <si>
    <t>total empresa(€)</t>
  </si>
  <si>
    <t xml:space="preserve">factores productivos </t>
  </si>
  <si>
    <t xml:space="preserve">horas </t>
  </si>
  <si>
    <t xml:space="preserve">€/hora </t>
  </si>
  <si>
    <t xml:space="preserve">horas profesor </t>
  </si>
  <si>
    <t xml:space="preserve">material didáctico * </t>
  </si>
  <si>
    <t xml:space="preserve">alquiler del local * </t>
  </si>
  <si>
    <t xml:space="preserve">Gastos de limpieza del centro * </t>
  </si>
  <si>
    <t xml:space="preserve">Luz del centro* </t>
  </si>
  <si>
    <t xml:space="preserve">total gastos </t>
  </si>
  <si>
    <t>,</t>
  </si>
  <si>
    <t>COSTE DE CADA CURSO</t>
  </si>
  <si>
    <t>INGLES</t>
  </si>
  <si>
    <t>CHINO</t>
  </si>
  <si>
    <t xml:space="preserve">TOTAL </t>
  </si>
  <si>
    <t xml:space="preserve">N HORAS </t>
  </si>
  <si>
    <t>600+400</t>
  </si>
  <si>
    <t xml:space="preserve">COSTE DE CADA HORA </t>
  </si>
  <si>
    <t xml:space="preserve">costes indirectos </t>
  </si>
  <si>
    <t>VOLUMEN DE INGRESOS</t>
  </si>
  <si>
    <t>I-C=0,20I</t>
  </si>
  <si>
    <t>I-0,20I=C</t>
  </si>
  <si>
    <t>0,80I=C</t>
  </si>
  <si>
    <t>I=29360/0,8</t>
  </si>
  <si>
    <t>I=</t>
  </si>
  <si>
    <t>EUR</t>
  </si>
  <si>
    <t>I=23940/0,8</t>
  </si>
  <si>
    <t>EURO</t>
  </si>
  <si>
    <t>PRECIO DE CADA CURSO</t>
  </si>
  <si>
    <t xml:space="preserve">CAPACIDAD DE LA CLASE </t>
  </si>
  <si>
    <t xml:space="preserve">INGLES </t>
  </si>
  <si>
    <t>100 M2</t>
  </si>
  <si>
    <t>2M2 X AL</t>
  </si>
  <si>
    <t>ALUMNOS</t>
  </si>
  <si>
    <t>1,5M2XAL</t>
  </si>
  <si>
    <t xml:space="preserve">PRECIO DE VENTA </t>
  </si>
  <si>
    <t>EUROS POR ALUMNO</t>
  </si>
  <si>
    <t>1M2XAL</t>
  </si>
  <si>
    <t xml:space="preserve"> Período de cálculo AÑO</t>
  </si>
  <si>
    <t>Consumo</t>
  </si>
  <si>
    <t>Conceptos de activos y gastos</t>
  </si>
  <si>
    <t>€</t>
  </si>
  <si>
    <t>Compra Papel plast</t>
  </si>
  <si>
    <t>papel plastif</t>
  </si>
  <si>
    <t>Elementos de transporte</t>
  </si>
  <si>
    <t>Maquinaria envasadora</t>
  </si>
  <si>
    <t xml:space="preserve">PPTT. Paquetes pequeños y Paquetes Grandes </t>
  </si>
  <si>
    <t>Mobiliario</t>
  </si>
  <si>
    <t>Rollos de bolsas (existencias iniciales)</t>
  </si>
  <si>
    <t>Costes de cada departamento de las empresa</t>
  </si>
  <si>
    <t>Paquetes pequeños (existencias iniciales)</t>
  </si>
  <si>
    <t>centros de costes reales</t>
  </si>
  <si>
    <t>Centro Cte ficticio</t>
  </si>
  <si>
    <t>Compras de caramelos a granel</t>
  </si>
  <si>
    <t>Costes por naturaleza</t>
  </si>
  <si>
    <t>TOTALES</t>
  </si>
  <si>
    <t>Envasado</t>
  </si>
  <si>
    <t>Comercial</t>
  </si>
  <si>
    <t>Administración y Generales</t>
  </si>
  <si>
    <t>Desocupacion</t>
  </si>
  <si>
    <t>ELEMENTOS DE TRANSPORTE</t>
  </si>
  <si>
    <t>Compras de Bolsas</t>
  </si>
  <si>
    <t>amortizac Elem transp</t>
  </si>
  <si>
    <t>Gasto de Personal</t>
  </si>
  <si>
    <t>Amortización maquinaria</t>
  </si>
  <si>
    <t>VIDA UTIL</t>
  </si>
  <si>
    <t>Electricidad</t>
  </si>
  <si>
    <t>Amortización mobiliario</t>
  </si>
  <si>
    <t>CAPACIDAD 2015</t>
  </si>
  <si>
    <t>Publicidad</t>
  </si>
  <si>
    <t>VTAS</t>
  </si>
  <si>
    <t>Gastos de personal</t>
  </si>
  <si>
    <t>CUOTA</t>
  </si>
  <si>
    <t>Arrendamiento local</t>
  </si>
  <si>
    <t>LUZ</t>
  </si>
  <si>
    <t xml:space="preserve">MAQUINARIA ENVASADORA </t>
  </si>
  <si>
    <t>Intereses de deuda</t>
  </si>
  <si>
    <t>CTA DE PYG</t>
  </si>
  <si>
    <t>arrendam local</t>
  </si>
  <si>
    <t>TOTAL Costes Indirectos</t>
  </si>
  <si>
    <t>VU 500.000 KM   2015 40.000 VENTAS</t>
  </si>
  <si>
    <t>%</t>
  </si>
  <si>
    <t>MOBILIARIO</t>
  </si>
  <si>
    <t>VU  15.000 HORAS  2015 3.500 ENVASADO</t>
  </si>
  <si>
    <t xml:space="preserve">COSTE DE PRODUCCION DE LOS PAQUETES DE CARAMELOS </t>
  </si>
  <si>
    <t>Inventario Rollos-Bolsas</t>
  </si>
  <si>
    <t>nº de bolsas</t>
  </si>
  <si>
    <t>€/rollo</t>
  </si>
  <si>
    <t>VU 10 AÑOS LINEAL 80% ADMON 20% VTAS</t>
  </si>
  <si>
    <t>Ei</t>
  </si>
  <si>
    <t>Compras</t>
  </si>
  <si>
    <t>CMP=</t>
  </si>
  <si>
    <t>(12.000+91.000)</t>
  </si>
  <si>
    <t>Consumo paq pequeños</t>
  </si>
  <si>
    <t>(12,000+70.000)</t>
  </si>
  <si>
    <t>Consumo paq grandes</t>
  </si>
  <si>
    <t>Inventario Caramelos a granel</t>
  </si>
  <si>
    <t>Kgs</t>
  </si>
  <si>
    <t>€/Kg</t>
  </si>
  <si>
    <t>Existencias Finales</t>
  </si>
  <si>
    <t>Compras del año</t>
  </si>
  <si>
    <t>3.00</t>
  </si>
  <si>
    <t>Consumos de Kgs para paquetes pequeños</t>
  </si>
  <si>
    <t>Inventario Caramelos</t>
  </si>
  <si>
    <t>nº de Kgs</t>
  </si>
  <si>
    <t>€/kg</t>
  </si>
  <si>
    <t>Reparto de costes indirectos</t>
  </si>
  <si>
    <t>Consumo de Kgs para paquetes grandes</t>
  </si>
  <si>
    <t>total</t>
  </si>
  <si>
    <t>Paq pequeños</t>
  </si>
  <si>
    <t>Paq grandes</t>
  </si>
  <si>
    <t>C.Indirectos de Envasado</t>
  </si>
  <si>
    <t>nº de productos envasados</t>
  </si>
  <si>
    <t>Nº de rollos -Bollas</t>
  </si>
  <si>
    <t>€/Bolsa</t>
  </si>
  <si>
    <t>Cte ind/ paquete</t>
  </si>
  <si>
    <t xml:space="preserve">Existencias Iniciales </t>
  </si>
  <si>
    <t>Consumo para Paquetes pequeños</t>
  </si>
  <si>
    <t>¿</t>
  </si>
  <si>
    <t>Coste industrial del producto terminado</t>
  </si>
  <si>
    <t>Consumo para Paquetes grandes</t>
  </si>
  <si>
    <t>Total</t>
  </si>
  <si>
    <t xml:space="preserve">costes Directos </t>
  </si>
  <si>
    <t>Gastos de Personal</t>
  </si>
  <si>
    <t>Coste medio /empleado</t>
  </si>
  <si>
    <t>Nº de empleados</t>
  </si>
  <si>
    <t>Caramelos</t>
  </si>
  <si>
    <t>Fábrica</t>
  </si>
  <si>
    <t>Rollos-Bolsas</t>
  </si>
  <si>
    <t>Costes Indirectos de envasado</t>
  </si>
  <si>
    <t xml:space="preserve">Administración, Dirección general (incluye el personal de limpieza y la nomina del director general) </t>
  </si>
  <si>
    <t>Coste Total</t>
  </si>
  <si>
    <t>Unidades producidas</t>
  </si>
  <si>
    <t>coste unitario</t>
  </si>
  <si>
    <t>ADMON</t>
  </si>
  <si>
    <t>Inventario Paquetes Pequeños</t>
  </si>
  <si>
    <t>Inventario Paquetes Grandes</t>
  </si>
  <si>
    <t>unidades</t>
  </si>
  <si>
    <t>€/udad</t>
  </si>
  <si>
    <t>DESOCUPADO</t>
  </si>
  <si>
    <t>Exist iniciales</t>
  </si>
  <si>
    <t>ENVASADO</t>
  </si>
  <si>
    <t>entradas produccion</t>
  </si>
  <si>
    <t xml:space="preserve">Salidas x Ventas </t>
  </si>
  <si>
    <t>Salidas x Ventas (*)</t>
  </si>
  <si>
    <t>Exist finales</t>
  </si>
  <si>
    <t xml:space="preserve">Paquetes pequeños  </t>
  </si>
  <si>
    <t>Paquetes grandes</t>
  </si>
  <si>
    <t xml:space="preserve"> CUENTA DE RESULTADOS FUNCIONAL</t>
  </si>
  <si>
    <t>Unidades de producción</t>
  </si>
  <si>
    <t>140.000 unidades</t>
  </si>
  <si>
    <t>110.000 unidades</t>
  </si>
  <si>
    <t>mes enero</t>
  </si>
  <si>
    <t>Paquetes Pequeños</t>
  </si>
  <si>
    <t>Paquetes Grandes</t>
  </si>
  <si>
    <t>Total empresa</t>
  </si>
  <si>
    <t xml:space="preserve">Inventario Paquetes pequeños </t>
  </si>
  <si>
    <t>Total A</t>
  </si>
  <si>
    <t xml:space="preserve">Total </t>
  </si>
  <si>
    <t>TOTAL(€)</t>
  </si>
  <si>
    <t>Ventas netas del periodo</t>
  </si>
  <si>
    <t xml:space="preserve">Existencias iniciales </t>
  </si>
  <si>
    <t>Coste industrial producto vendido</t>
  </si>
  <si>
    <t>135000+95000</t>
  </si>
  <si>
    <t>Entradas por producción</t>
  </si>
  <si>
    <t xml:space="preserve"> ¿?</t>
  </si>
  <si>
    <t>Margen bruto industrial</t>
  </si>
  <si>
    <t>UDS VENDIDAS</t>
  </si>
  <si>
    <t>Salidas por ventas</t>
  </si>
  <si>
    <t>¿??</t>
  </si>
  <si>
    <t>Coste de comercial</t>
  </si>
  <si>
    <t>CTES COM</t>
  </si>
  <si>
    <t>¿?</t>
  </si>
  <si>
    <t>Margen comercial</t>
  </si>
  <si>
    <t>CTE X UND</t>
  </si>
  <si>
    <t>Coste de Administración y Grales</t>
  </si>
  <si>
    <t xml:space="preserve">Inventario Paquetes grandes </t>
  </si>
  <si>
    <t>Resultado  explotación</t>
  </si>
  <si>
    <t>costes por desocupacion</t>
  </si>
  <si>
    <t>entradas por producción</t>
  </si>
  <si>
    <t>resultado del ejercicio</t>
  </si>
  <si>
    <t xml:space="preserve">Salidas por Ventas </t>
  </si>
  <si>
    <t xml:space="preserve">Resultado financiero </t>
  </si>
  <si>
    <t>RESULTADO antes de impuestos</t>
  </si>
  <si>
    <t>% margen industrial</t>
  </si>
  <si>
    <t xml:space="preserve"> ALMACEN MMPP </t>
  </si>
  <si>
    <t xml:space="preserve"> TALER FABRICACION </t>
  </si>
  <si>
    <t xml:space="preserve"> ALMACEN DE PPTT </t>
  </si>
  <si>
    <t xml:space="preserve"> VENTAS </t>
  </si>
  <si>
    <t>VENTAS</t>
  </si>
  <si>
    <t>PRIMER PARTE SEPTIEMBRE</t>
  </si>
  <si>
    <t xml:space="preserve"> COSTE DE LA MERCADERA COMPRADA  </t>
  </si>
  <si>
    <t xml:space="preserve"> UF </t>
  </si>
  <si>
    <t xml:space="preserve"> CU </t>
  </si>
  <si>
    <t xml:space="preserve"> CT </t>
  </si>
  <si>
    <t xml:space="preserve"> COMPRAS </t>
  </si>
  <si>
    <t xml:space="preserve"> TRANSPORTE </t>
  </si>
  <si>
    <t xml:space="preserve"> COSTE DE COMPRA  </t>
  </si>
  <si>
    <t>PTO 1</t>
  </si>
  <si>
    <t xml:space="preserve"> COSTE DE LA MATERIA PRIMA CONSUMIDA  </t>
  </si>
  <si>
    <t xml:space="preserve"> EXISTENCAS INICIALES </t>
  </si>
  <si>
    <t xml:space="preserve"> COMPRAS /ENTRADAS </t>
  </si>
  <si>
    <t xml:space="preserve"> CONSUMOS/SALIDAS PRO M </t>
  </si>
  <si>
    <t>PTO 2</t>
  </si>
  <si>
    <t xml:space="preserve"> CONSUMOS/SALIDAS PRO P </t>
  </si>
  <si>
    <t xml:space="preserve"> EXISTENCIAS FINALES  </t>
  </si>
  <si>
    <t>COSTES INDIRECTOS</t>
  </si>
  <si>
    <t xml:space="preserve"> COSTE DE PRODUCCION  </t>
  </si>
  <si>
    <t>MO</t>
  </si>
  <si>
    <t xml:space="preserve"> M </t>
  </si>
  <si>
    <t xml:space="preserve"> P </t>
  </si>
  <si>
    <t xml:space="preserve"> TOTAL EUROS  </t>
  </si>
  <si>
    <t xml:space="preserve"> CONSUMO DE MMPP </t>
  </si>
  <si>
    <t xml:space="preserve"> COSTES INDIRECTOS </t>
  </si>
  <si>
    <t xml:space="preserve"> COSTES INDIRECTOS  </t>
  </si>
  <si>
    <t xml:space="preserve"> KILOSMMPP CONSUMIDA </t>
  </si>
  <si>
    <t xml:space="preserve"> PRODUCTO M </t>
  </si>
  <si>
    <t xml:space="preserve"> UF PRODUCIDAS </t>
  </si>
  <si>
    <t xml:space="preserve"> PRODUCTO P </t>
  </si>
  <si>
    <t xml:space="preserve"> COSTE UNITARIO DE PRODUCCION  </t>
  </si>
  <si>
    <t>PUNTO 3</t>
  </si>
  <si>
    <t xml:space="preserve"> COSTE DE LA PRODUCCION VENDIDA </t>
  </si>
  <si>
    <t xml:space="preserve"> ENTRADAS /produccion</t>
  </si>
  <si>
    <t xml:space="preserve"> VENTAS/SALIDAS PRO M COSTE DE VENTA  </t>
  </si>
  <si>
    <t xml:space="preserve"> ENTRADAS </t>
  </si>
  <si>
    <t xml:space="preserve"> VENTAS/SALIDAS PRO P COSTE DE VENTA  </t>
  </si>
  <si>
    <t xml:space="preserve"> MARGEN </t>
  </si>
  <si>
    <t xml:space="preserve"> TOTAL </t>
  </si>
  <si>
    <t xml:space="preserve"> UNITARIO </t>
  </si>
  <si>
    <t xml:space="preserve"> TOTAL EMPRESA </t>
  </si>
  <si>
    <t xml:space="preserve"> INGRESOS POR VENTAS </t>
  </si>
  <si>
    <t xml:space="preserve"> COSTE DE VENTAS  </t>
  </si>
  <si>
    <t xml:space="preserve"> MARGEN BRUTO O M INDUSTRIAL </t>
  </si>
  <si>
    <t xml:space="preserve">SEGUNDA PARTE </t>
  </si>
  <si>
    <t xml:space="preserve">OCTUBRE </t>
  </si>
  <si>
    <t>CLAVE DE REPARTO</t>
  </si>
  <si>
    <t>CONSUMO DEMMPP</t>
  </si>
  <si>
    <t>M</t>
  </si>
  <si>
    <t>UF</t>
  </si>
  <si>
    <t>P</t>
  </si>
  <si>
    <t>CLAVES</t>
  </si>
  <si>
    <t>UDS CONSUMIDAS</t>
  </si>
  <si>
    <t xml:space="preserve">UDS PRODUCIDAS </t>
  </si>
  <si>
    <t>100+200</t>
  </si>
  <si>
    <t xml:space="preserve"> COSTE UNITARIO DE PRODUCCIN  </t>
  </si>
  <si>
    <t>(10*40,30)+(100*33,17)</t>
  </si>
  <si>
    <t>(10+100)</t>
  </si>
  <si>
    <t>70+160</t>
  </si>
  <si>
    <t>FABRITEX</t>
  </si>
  <si>
    <t xml:space="preserve">COSTES </t>
  </si>
  <si>
    <t>UM</t>
  </si>
  <si>
    <t xml:space="preserve">TIEMPO MEDIO </t>
  </si>
  <si>
    <t>CAMISAS</t>
  </si>
  <si>
    <t>H/UF</t>
  </si>
  <si>
    <t>PANTALONES</t>
  </si>
  <si>
    <t>FALDAS</t>
  </si>
  <si>
    <t>VESTIDOS</t>
  </si>
  <si>
    <t>ABRIGOS</t>
  </si>
  <si>
    <t>IMPUTACION POR PRODUCCION TOTAL</t>
  </si>
  <si>
    <t>COSTE</t>
  </si>
  <si>
    <t>COSTE UNITARIO</t>
  </si>
  <si>
    <t>IMPUTACION POR HORAS DE TRABAJO DE CADA CENTRO</t>
  </si>
  <si>
    <t>HORAS TRABAJADAS</t>
  </si>
  <si>
    <t>CATERING</t>
  </si>
  <si>
    <t>1. Definición de los centros de coste  y determinación de los costes de cada uno (*)</t>
  </si>
  <si>
    <t xml:space="preserve">INFORMACION COMPLEMENTARIA </t>
  </si>
  <si>
    <t xml:space="preserve">centros de costes </t>
  </si>
  <si>
    <t>CONCEPTOS</t>
  </si>
  <si>
    <t>IMPORTE</t>
  </si>
  <si>
    <t>GARAJE</t>
  </si>
  <si>
    <t>ALMACÉN</t>
  </si>
  <si>
    <t>FASE I</t>
  </si>
  <si>
    <t>FASE II</t>
  </si>
  <si>
    <t>DISTRIBUCIÓN</t>
  </si>
  <si>
    <t>ADMÓN. Y GENERALES</t>
  </si>
  <si>
    <t>Amortización edificio</t>
  </si>
  <si>
    <t xml:space="preserve"> Inmovilizado</t>
  </si>
  <si>
    <t>Coste Adquisición (€)</t>
  </si>
  <si>
    <t>Vida útil</t>
  </si>
  <si>
    <t>Amortiz. Maquinaria Fase I</t>
  </si>
  <si>
    <t>Terrenos y bienes naturales</t>
  </si>
  <si>
    <t>Amortiz. Maquinaria Fase II</t>
  </si>
  <si>
    <t>Construcciones</t>
  </si>
  <si>
    <t>40 años</t>
  </si>
  <si>
    <t>Amortiz. furgonetas</t>
  </si>
  <si>
    <t>Maquinaria fase I</t>
  </si>
  <si>
    <t>10 años</t>
  </si>
  <si>
    <t>Primas de seguros</t>
  </si>
  <si>
    <t>Maquinaria fase II</t>
  </si>
  <si>
    <t>Suministros</t>
  </si>
  <si>
    <t>5 años</t>
  </si>
  <si>
    <t>Otros servicios</t>
  </si>
  <si>
    <t>Conceptos</t>
  </si>
  <si>
    <t>Cantidad</t>
  </si>
  <si>
    <t>Valor (€)</t>
  </si>
  <si>
    <t>Géneros no perecederos</t>
  </si>
  <si>
    <t>500 kg</t>
  </si>
  <si>
    <t>Otros aprovisionamientos </t>
  </si>
  <si>
    <t>Bandejas retornables</t>
  </si>
  <si>
    <t>10.000 uds</t>
  </si>
  <si>
    <t>Bandejas deterioradas</t>
  </si>
  <si>
    <t>Alimentos precocinados</t>
  </si>
  <si>
    <t>3.000 kg</t>
  </si>
  <si>
    <t>Costes por centros</t>
  </si>
  <si>
    <t>CV</t>
  </si>
  <si>
    <t>CF</t>
  </si>
  <si>
    <t>UO</t>
  </si>
  <si>
    <t>ACTIVIDAD</t>
  </si>
  <si>
    <t>CAPACIDAD</t>
  </si>
  <si>
    <t xml:space="preserve">TASA DE ACTIVIDAD </t>
  </si>
  <si>
    <t xml:space="preserve">TASA DE SUBACTIVIDAD </t>
  </si>
  <si>
    <t>COSTES FIJO OCUPADOS</t>
  </si>
  <si>
    <t xml:space="preserve">COSTES FIJOS OCIOSOS O  SUBACTIVIDD </t>
  </si>
  <si>
    <t>COSTES TOTALES OCUPADOS</t>
  </si>
  <si>
    <t>Datos sobre las compras del mes:</t>
  </si>
  <si>
    <t xml:space="preserve">(*) Para la definición de los centros de responsabilidad como centros de coste se han tenido en cuenta  </t>
  </si>
  <si>
    <t>la homogeneidad  del trabajo que efectúa y la posibilidad de ser medido.</t>
  </si>
  <si>
    <t>Compras géneros perecederos</t>
  </si>
  <si>
    <t>5.250 kg</t>
  </si>
  <si>
    <t>Compras géneros no perecederos</t>
  </si>
  <si>
    <t>EDIFICIO</t>
  </si>
  <si>
    <t>CUOTA MENSUAL</t>
  </si>
  <si>
    <t>euros</t>
  </si>
  <si>
    <t>Compras de otros aprovisionamientos (1)</t>
  </si>
  <si>
    <t>800 paquetes</t>
  </si>
  <si>
    <t>40 AÑOS</t>
  </si>
  <si>
    <t>m2</t>
  </si>
  <si>
    <t>Devoluciones de compras géneros perecederos</t>
  </si>
  <si>
    <t>250 kg</t>
  </si>
  <si>
    <t>3000 M2</t>
  </si>
  <si>
    <t>ALMACEN</t>
  </si>
  <si>
    <t>(1) platos, vasos y cubiertos desechables</t>
  </si>
  <si>
    <t xml:space="preserve">COSTE METRO CUADRADO </t>
  </si>
  <si>
    <t>Datos sobre los gastos corrientes del mes:</t>
  </si>
  <si>
    <t>D GRAL</t>
  </si>
  <si>
    <t xml:space="preserve">PRIMA DE SEGUROS </t>
  </si>
  <si>
    <t>OTROS APROVISIONAMIENTOS</t>
  </si>
  <si>
    <t>Sueldos y salarios</t>
  </si>
  <si>
    <t>Plantilla</t>
  </si>
  <si>
    <t>coste total (€)</t>
  </si>
  <si>
    <t xml:space="preserve">EXISTENCIAS INICIALES </t>
  </si>
  <si>
    <t>Seguridad Social a cargo de la empresa</t>
  </si>
  <si>
    <t>Director general</t>
  </si>
  <si>
    <t>M2</t>
  </si>
  <si>
    <t>Director comercial</t>
  </si>
  <si>
    <t xml:space="preserve">CONSUMOS </t>
  </si>
  <si>
    <t>Personal Fase I</t>
  </si>
  <si>
    <t>Datos sobre los ingresos del mes:</t>
  </si>
  <si>
    <t>Personal Fase II</t>
  </si>
  <si>
    <t>Almacén</t>
  </si>
  <si>
    <t xml:space="preserve">BANDEJAS </t>
  </si>
  <si>
    <t>CT</t>
  </si>
  <si>
    <t>Descuentos sobre ventas por pronto pago</t>
  </si>
  <si>
    <t>Conductores - repartidores</t>
  </si>
  <si>
    <t>EI</t>
  </si>
  <si>
    <t>Ventas de menús preparados</t>
  </si>
  <si>
    <t>Administrativos</t>
  </si>
  <si>
    <t>PERDIDAS</t>
  </si>
  <si>
    <t>Ingresos por arrendamientos</t>
  </si>
  <si>
    <t>Personal de limpieza</t>
  </si>
  <si>
    <t>Costes de materia primas</t>
  </si>
  <si>
    <t xml:space="preserve"> Géneros Perecederos</t>
  </si>
  <si>
    <t>(Kg.)</t>
  </si>
  <si>
    <t>Coste Kg. (€)</t>
  </si>
  <si>
    <t xml:space="preserve">Compras géneros perecederos </t>
  </si>
  <si>
    <t xml:space="preserve">Devoluciones de géneros perecederos </t>
  </si>
  <si>
    <t>Consumo de genero perecedero</t>
  </si>
  <si>
    <t>4990+10</t>
  </si>
  <si>
    <t xml:space="preserve">Conceptos </t>
  </si>
  <si>
    <t xml:space="preserve"> (Kg.)</t>
  </si>
  <si>
    <t>Coste Kg. </t>
  </si>
  <si>
    <t>Valor (€) </t>
  </si>
  <si>
    <t>Existencias iniciales</t>
  </si>
  <si>
    <t xml:space="preserve">Compras géneros no perecederos </t>
  </si>
  <si>
    <t>Consumo (*)</t>
  </si>
  <si>
    <t>Existencias finales</t>
  </si>
  <si>
    <t>(*) Se aplica el criterio CMP</t>
  </si>
  <si>
    <t>Imputación de los costes del almacén a las materias primas</t>
  </si>
  <si>
    <t>Tasa de imputación:</t>
  </si>
  <si>
    <t xml:space="preserve">kilogramos consumidos </t>
  </si>
  <si>
    <t xml:space="preserve">Perecederos </t>
  </si>
  <si>
    <t>no perecederos</t>
  </si>
  <si>
    <t>Costes de Almacen</t>
  </si>
  <si>
    <t xml:space="preserve">Coste total de los consumos de materias primas </t>
  </si>
  <si>
    <t>Géneros perecederos</t>
  </si>
  <si>
    <t>Unidades (KG)</t>
  </si>
  <si>
    <t>Coste  de adquisición</t>
  </si>
  <si>
    <t>Coste mantenimiento almacén</t>
  </si>
  <si>
    <t xml:space="preserve">Coste unitario </t>
  </si>
  <si>
    <t>Coste de producción de Alimentos Precocinados I</t>
  </si>
  <si>
    <t>Consumo de Géneros  perecederos</t>
  </si>
  <si>
    <t>consumo de Géneros no perecederos</t>
  </si>
  <si>
    <t>Costes transformación Fase I</t>
  </si>
  <si>
    <t xml:space="preserve">Coste  total producción </t>
  </si>
  <si>
    <t xml:space="preserve">kg de alimentos  precocinados </t>
  </si>
  <si>
    <t>Coste unitario de alimento precocinado</t>
  </si>
  <si>
    <t>Inventario de ALIMENTOS PRECOCINADOS</t>
  </si>
  <si>
    <t>Producción del mes</t>
  </si>
  <si>
    <t>Consumo en Fase II (*)</t>
  </si>
  <si>
    <t>Existencias finales (*)</t>
  </si>
  <si>
    <t>Coste de producción de MENUS COMPLETOS</t>
  </si>
  <si>
    <t>Consumo Alimentos precocinados</t>
  </si>
  <si>
    <t>Costes de la Fase II</t>
  </si>
  <si>
    <t>Coste total de menús completos</t>
  </si>
  <si>
    <t>Nº DE MENUS</t>
  </si>
  <si>
    <t>Coste unitario</t>
  </si>
  <si>
    <t>menu</t>
  </si>
  <si>
    <t xml:space="preserve"> COSTE DE VENTAS </t>
  </si>
  <si>
    <t>CUENTA DE RESULTADOS FUNCIONAL</t>
  </si>
  <si>
    <t> Conceptos</t>
  </si>
  <si>
    <t xml:space="preserve">Ventas brutas </t>
  </si>
  <si>
    <t>descuento pp</t>
  </si>
  <si>
    <t>Ventas netas</t>
  </si>
  <si>
    <t>Coste industrial de las ventas</t>
  </si>
  <si>
    <t>Margen industrial</t>
  </si>
  <si>
    <t>Costes de distribución</t>
  </si>
  <si>
    <t xml:space="preserve">Costes de administración y generales(*) </t>
  </si>
  <si>
    <t>Resultado de la actividad principal</t>
  </si>
  <si>
    <t>Ingresos alquiler plazas de garaje</t>
  </si>
  <si>
    <t>Resultado total de explotación</t>
  </si>
  <si>
    <t>(*) Resultante de agregar los costes de Garaje con Administración y Generales</t>
  </si>
  <si>
    <t xml:space="preserve"> AHUMADOS</t>
  </si>
  <si>
    <t>RECLASIFICACIÓN POR FUNCIONES DE LOS COSTES DEL EJERCICIO</t>
  </si>
  <si>
    <t>CONCEPTO</t>
  </si>
  <si>
    <t>PRODUCCIÓN</t>
  </si>
  <si>
    <t>DISTRIB.</t>
  </si>
  <si>
    <t>ADMÓN.</t>
  </si>
  <si>
    <t>SALMÓN</t>
  </si>
  <si>
    <t>ESCAROLA</t>
  </si>
  <si>
    <t>Amort Cocinas</t>
  </si>
  <si>
    <t>Amort oficinas</t>
  </si>
  <si>
    <t>Salarios cocina</t>
  </si>
  <si>
    <t>Salarios oficina</t>
  </si>
  <si>
    <t>Trsnp vtas</t>
  </si>
  <si>
    <t>Suminist. Cocinas</t>
  </si>
  <si>
    <t>Suminist. Oficina</t>
  </si>
  <si>
    <t>ss 90%</t>
  </si>
  <si>
    <t>se 10%</t>
  </si>
  <si>
    <t>SS Salmón</t>
  </si>
  <si>
    <t>SS Escarola</t>
  </si>
  <si>
    <t>Consumo de Pan</t>
  </si>
  <si>
    <t>Consumo de Salmón</t>
  </si>
  <si>
    <t>Consumo de Escarola</t>
  </si>
  <si>
    <t>GGF</t>
  </si>
  <si>
    <t>Uds. Terminados</t>
  </si>
  <si>
    <t>Coste Unitario</t>
  </si>
  <si>
    <t>€./U</t>
  </si>
  <si>
    <t>Producción</t>
  </si>
  <si>
    <t>Nº Uds. Vendidas</t>
  </si>
  <si>
    <t>Mermas</t>
  </si>
  <si>
    <t>Exis. Finales</t>
  </si>
  <si>
    <t>Precio de venta de los productos</t>
  </si>
  <si>
    <t>8.000.000 PSS+ 1.000.000 PSE= 9.000.000</t>
  </si>
  <si>
    <t>Como tiene que tener el MISMO PRECIO</t>
  </si>
  <si>
    <t>8 PS+ 1PS = 9</t>
  </si>
  <si>
    <t>PS = 1€/unidad</t>
  </si>
  <si>
    <t>SS SALMÓN</t>
  </si>
  <si>
    <t>SS ESCAROLA</t>
  </si>
  <si>
    <t xml:space="preserve"> = Margen Bruto</t>
  </si>
  <si>
    <t xml:space="preserve"> -  Ctes distrib.</t>
  </si>
  <si>
    <t xml:space="preserve"> = Margen comercial</t>
  </si>
  <si>
    <t xml:space="preserve"> - Ctes Admón.</t>
  </si>
  <si>
    <t xml:space="preserve"> = RESULTADO NETO</t>
  </si>
  <si>
    <t>Gastos de carc Exep.</t>
  </si>
  <si>
    <t xml:space="preserve"> = RESULTADO ACTIVIDAD ORDINARIA</t>
  </si>
  <si>
    <t xml:space="preserve"> - Rdo. financiero</t>
  </si>
  <si>
    <t xml:space="preserve"> = RESULTADO DEL PERIODO</t>
  </si>
  <si>
    <t xml:space="preserve"> FACTORES </t>
  </si>
  <si>
    <t xml:space="preserve"> TOTAL  </t>
  </si>
  <si>
    <t xml:space="preserve"> ADMON Y GRLES </t>
  </si>
  <si>
    <t xml:space="preserve"> MANTENIMIENTO </t>
  </si>
  <si>
    <t xml:space="preserve"> GARAJE  </t>
  </si>
  <si>
    <t xml:space="preserve"> ALMACEN </t>
  </si>
  <si>
    <t xml:space="preserve"> CAFETERIA  </t>
  </si>
  <si>
    <t xml:space="preserve"> TRANSPORTE  </t>
  </si>
  <si>
    <t xml:space="preserve"> PERSONAL </t>
  </si>
  <si>
    <t xml:space="preserve"> D GENERAL </t>
  </si>
  <si>
    <t xml:space="preserve"> D COMERCIAL </t>
  </si>
  <si>
    <t xml:space="preserve"> VENDEDORES </t>
  </si>
  <si>
    <t xml:space="preserve"> R ALMACEN  </t>
  </si>
  <si>
    <t xml:space="preserve"> CONDUCTORES </t>
  </si>
  <si>
    <t xml:space="preserve"> AYUD REPARTO </t>
  </si>
  <si>
    <t xml:space="preserve"> VIG GARAJE </t>
  </si>
  <si>
    <t xml:space="preserve"> ADMINISTRAT </t>
  </si>
  <si>
    <t xml:space="preserve"> SECRETARIAS </t>
  </si>
  <si>
    <t xml:space="preserve"> MANT Y LIMP </t>
  </si>
  <si>
    <t xml:space="preserve">AMORT  EDIFICIOS </t>
  </si>
  <si>
    <t xml:space="preserve"> AMORT EPI </t>
  </si>
  <si>
    <t xml:space="preserve">  AMORT MOB ADMIN </t>
  </si>
  <si>
    <t xml:space="preserve"> MOB VENTAS </t>
  </si>
  <si>
    <t xml:space="preserve"> MOB ALMACÉN </t>
  </si>
  <si>
    <t xml:space="preserve"> MOB CAFETERÍA </t>
  </si>
  <si>
    <t xml:space="preserve"> EQUIP TELEFONÍA </t>
  </si>
  <si>
    <t xml:space="preserve"> TELÉFONO </t>
  </si>
  <si>
    <t xml:space="preserve"> CAMIONES REPARTO </t>
  </si>
  <si>
    <t xml:space="preserve"> AMOR PROG INFORMÁTICO </t>
  </si>
  <si>
    <t xml:space="preserve"> REGALOS </t>
  </si>
  <si>
    <t xml:space="preserve"> LUZ  </t>
  </si>
  <si>
    <t>SEVICIO DE VIG</t>
  </si>
  <si>
    <t>PRIMA DE SEGURO</t>
  </si>
  <si>
    <t>FACTORES PRODUCTIVOS CONSUMIDOS EN CADA CENTRO</t>
  </si>
  <si>
    <t xml:space="preserve">VALORACION DE LOS FACTORES PRODUCTIVOS </t>
  </si>
  <si>
    <t xml:space="preserve"> REPARTO CUOTA AMORTIZACION EDIFICIO </t>
  </si>
  <si>
    <t xml:space="preserve"> PLANTA  </t>
  </si>
  <si>
    <t xml:space="preserve"> METROS  </t>
  </si>
  <si>
    <t xml:space="preserve"> UM </t>
  </si>
  <si>
    <t xml:space="preserve"> 480.000/50/12 </t>
  </si>
  <si>
    <t xml:space="preserve"> SOTANO</t>
  </si>
  <si>
    <t xml:space="preserve"> GARAJE </t>
  </si>
  <si>
    <t xml:space="preserve"> M2 </t>
  </si>
  <si>
    <t xml:space="preserve"> BAJA  </t>
  </si>
  <si>
    <t xml:space="preserve"> C UNIT M2 </t>
  </si>
  <si>
    <t xml:space="preserve"> PRIMERA  </t>
  </si>
  <si>
    <t xml:space="preserve"> SEGUNDA </t>
  </si>
  <si>
    <t xml:space="preserve"> CAFETERIA </t>
  </si>
  <si>
    <t xml:space="preserve"> 2º PLANTA  </t>
  </si>
  <si>
    <t xml:space="preserve"> 4 SERVICIOS</t>
  </si>
  <si>
    <t xml:space="preserve"> GENERALES Y ADMIN </t>
  </si>
  <si>
    <t xml:space="preserve"> 25% CADA UNO </t>
  </si>
  <si>
    <t xml:space="preserve"> COSTES  </t>
  </si>
  <si>
    <t xml:space="preserve"> EQUIPO INFORMATICOS </t>
  </si>
  <si>
    <t xml:space="preserve"> 5 AÑOS  </t>
  </si>
  <si>
    <t xml:space="preserve">OREDENADORES </t>
  </si>
  <si>
    <t>CTE UNITARIO POR ORDENADOR</t>
  </si>
  <si>
    <t xml:space="preserve">ORDENADORES </t>
  </si>
  <si>
    <t xml:space="preserve">CUOTA POR ORDENADOR  </t>
  </si>
  <si>
    <t xml:space="preserve"> ALMACEN  </t>
  </si>
  <si>
    <t xml:space="preserve"> VENTA </t>
  </si>
  <si>
    <t xml:space="preserve"> ADMINISTRACIÓN </t>
  </si>
  <si>
    <t xml:space="preserve"> MOBILIARIO ADMON </t>
  </si>
  <si>
    <t xml:space="preserve"> MOBILIARIO  VENTAS  </t>
  </si>
  <si>
    <t xml:space="preserve"> MOBILIARIO ALMACEN  </t>
  </si>
  <si>
    <t xml:space="preserve"> MOBILIARIO CAFETERIA  </t>
  </si>
  <si>
    <t xml:space="preserve"> 4 AÑOS  </t>
  </si>
  <si>
    <t xml:space="preserve"> EQUIPOS DE TELEFONIA  </t>
  </si>
  <si>
    <t>4 LINEAS</t>
  </si>
  <si>
    <t xml:space="preserve">PROGRAMAS INFORMATICOS </t>
  </si>
  <si>
    <t xml:space="preserve">VENTAS </t>
  </si>
  <si>
    <t>3 AÑOS</t>
  </si>
  <si>
    <t xml:space="preserve">SERVICIO DE VIGILANCIA </t>
  </si>
  <si>
    <t>COSTES TOTALES Y RENDIMIENTOS NETOS</t>
  </si>
  <si>
    <t xml:space="preserve"> COSTES   </t>
  </si>
  <si>
    <t xml:space="preserve"> COSTES </t>
  </si>
  <si>
    <t xml:space="preserve"> INGRESOS </t>
  </si>
  <si>
    <t>100-15-40</t>
  </si>
  <si>
    <t xml:space="preserve"> SUBVENCIONES </t>
  </si>
  <si>
    <t xml:space="preserve"> BENEFICIO </t>
  </si>
  <si>
    <t xml:space="preserve"> BENEFICIO NETO </t>
  </si>
  <si>
    <t>1.-</t>
  </si>
  <si>
    <t xml:space="preserve">MARGEN DE CONTRIBUCION UNITARIO </t>
  </si>
  <si>
    <t>PV. C*V</t>
  </si>
  <si>
    <t>3000-1400</t>
  </si>
  <si>
    <t>1600 UM</t>
  </si>
  <si>
    <t>2.-</t>
  </si>
  <si>
    <t>MCT =MC* N DE CAMPAÑAS</t>
  </si>
  <si>
    <t>1600*10</t>
  </si>
  <si>
    <t>BENEFICIO</t>
  </si>
  <si>
    <t>MCT-CF</t>
  </si>
  <si>
    <t>16000-12000</t>
  </si>
  <si>
    <t>3.-</t>
  </si>
  <si>
    <t>PM(UF)</t>
  </si>
  <si>
    <t xml:space="preserve">7,5 CAMPAÑAS </t>
  </si>
  <si>
    <t>PV- C*V</t>
  </si>
  <si>
    <t>PM UM</t>
  </si>
  <si>
    <t>7,5*3000</t>
  </si>
  <si>
    <t>5.-</t>
  </si>
  <si>
    <t>15 CAMPAÑAS</t>
  </si>
  <si>
    <t xml:space="preserve">20 CAMPAÑAS </t>
  </si>
  <si>
    <t>MC</t>
  </si>
  <si>
    <t>MCT</t>
  </si>
  <si>
    <t>1600*15</t>
  </si>
  <si>
    <t>24000-12000</t>
  </si>
  <si>
    <t>4.-</t>
  </si>
  <si>
    <t>O.E</t>
  </si>
  <si>
    <t>20 CAMPAÑAS</t>
  </si>
  <si>
    <t>CF=12.000</t>
  </si>
  <si>
    <t xml:space="preserve">ACTIVIDAD </t>
  </si>
  <si>
    <t xml:space="preserve">10 CAMPAÑAS </t>
  </si>
  <si>
    <t>TASA DE ACTIVIDAD R</t>
  </si>
  <si>
    <t>ACTIVIDAD REAL</t>
  </si>
  <si>
    <t>ACTIVIDAD NORMAL</t>
  </si>
  <si>
    <t xml:space="preserve">COSTES FIJOS </t>
  </si>
  <si>
    <t>50%12.000</t>
  </si>
  <si>
    <t>1-R</t>
  </si>
  <si>
    <t xml:space="preserve">COSTES DE SUBACTIVIDAD  </t>
  </si>
  <si>
    <t xml:space="preserve">15CAMPAÑAS </t>
  </si>
  <si>
    <t>R</t>
  </si>
  <si>
    <t>75%12.000</t>
  </si>
  <si>
    <t xml:space="preserve">COSTES OCUPADOS </t>
  </si>
  <si>
    <t>RINGSA</t>
  </si>
  <si>
    <t>T AUXILIAR</t>
  </si>
  <si>
    <t>TALLER I</t>
  </si>
  <si>
    <t>TALLERII</t>
  </si>
  <si>
    <t>COMERCIALIZACION</t>
  </si>
  <si>
    <t>ADMINISTRACION</t>
  </si>
  <si>
    <t xml:space="preserve">COSTES TOTALES </t>
  </si>
  <si>
    <t xml:space="preserve">COSTES VARIABLES </t>
  </si>
  <si>
    <t>SUBREPARTO TALLER AUXILIAR</t>
  </si>
  <si>
    <t>B</t>
  </si>
  <si>
    <t xml:space="preserve">COSTES VARIABLES TOTALES </t>
  </si>
  <si>
    <t>C</t>
  </si>
  <si>
    <t xml:space="preserve">UNIDAD DE OBRA </t>
  </si>
  <si>
    <t>H/H</t>
  </si>
  <si>
    <t>H/M</t>
  </si>
  <si>
    <t xml:space="preserve">LLMADAS </t>
  </si>
  <si>
    <t xml:space="preserve">CTE VBLE DE LA UNIDAD DE OBRA </t>
  </si>
  <si>
    <t>A</t>
  </si>
  <si>
    <t>D</t>
  </si>
  <si>
    <t>ASIGANCION DE LOS COSTES A LOS PRODUCTOS</t>
  </si>
  <si>
    <t xml:space="preserve">PRODUCTO M HORAS </t>
  </si>
  <si>
    <t xml:space="preserve">PRODUCTO H HORAS </t>
  </si>
  <si>
    <t>P M Euros</t>
  </si>
  <si>
    <t xml:space="preserve">PROD H EUROS </t>
  </si>
  <si>
    <t>TALLER II</t>
  </si>
  <si>
    <t xml:space="preserve">COSTE PRODUCCION </t>
  </si>
  <si>
    <t>PRO M</t>
  </si>
  <si>
    <t>PRDO H</t>
  </si>
  <si>
    <t>COSNSUMO DE MMPP</t>
  </si>
  <si>
    <t>COSTE VBLE PROD TOTAL</t>
  </si>
  <si>
    <t>UNIDADES PRODUCIDAS</t>
  </si>
  <si>
    <t>CTE VBLE UNITARIOC*V</t>
  </si>
  <si>
    <t>E</t>
  </si>
  <si>
    <t xml:space="preserve">VENTAS NETAS </t>
  </si>
  <si>
    <t>.- CTE VARIABLE DE PRODUCCION</t>
  </si>
  <si>
    <t xml:space="preserve">.- CV DE COMERCIALIZACION </t>
  </si>
  <si>
    <t>MARGEN DE CONTRIBUCION</t>
  </si>
  <si>
    <t>COSTES FIJOS</t>
  </si>
  <si>
    <t>RDO DE EXOLOTACION</t>
  </si>
  <si>
    <t>PUNTO MUERTO</t>
  </si>
  <si>
    <t>COSTE FIJOS</t>
  </si>
  <si>
    <t>% MARGEN DE CONTRIBUCION</t>
  </si>
  <si>
    <t>PUNTO MUERTO (UM)</t>
  </si>
  <si>
    <t>% MARGEN DE CONTRIB</t>
  </si>
  <si>
    <t xml:space="preserve">COSTES OCIOSOS </t>
  </si>
  <si>
    <t xml:space="preserve">CAPACIDAD LIBRE </t>
  </si>
  <si>
    <t xml:space="preserve">CF OCUPADOS </t>
  </si>
  <si>
    <t xml:space="preserve">TALLER AUXILIAR </t>
  </si>
  <si>
    <t xml:space="preserve">CAPACIDAD </t>
  </si>
  <si>
    <t>HH</t>
  </si>
  <si>
    <t>TALER I</t>
  </si>
  <si>
    <t>HM</t>
  </si>
  <si>
    <t>TALLER  II</t>
  </si>
  <si>
    <t xml:space="preserve">LLAMADAS </t>
  </si>
  <si>
    <t xml:space="preserve">SEGUNDA  PARTE </t>
  </si>
  <si>
    <t>PRODUCTO M</t>
  </si>
  <si>
    <t>PEDIDO ESPECIAL</t>
  </si>
  <si>
    <t>UM/UF</t>
  </si>
  <si>
    <t xml:space="preserve">PUEDO HACERLO </t>
  </si>
  <si>
    <t xml:space="preserve">SI XQ TENGO CAPCIDAD OCIOSA </t>
  </si>
  <si>
    <t>ESTA CAPACIDAD ES SUFICIENTE???</t>
  </si>
  <si>
    <t>COEFICIENTE DE TRABAJO DEL PRODUCTO</t>
  </si>
  <si>
    <t>CUANTAS HORAS NECESITO</t>
  </si>
  <si>
    <t xml:space="preserve">uds fabricadas </t>
  </si>
  <si>
    <t>hm</t>
  </si>
  <si>
    <t xml:space="preserve">horas libre </t>
  </si>
  <si>
    <t>puedo</t>
  </si>
  <si>
    <t>x= 625 horas</t>
  </si>
  <si>
    <t>x=250 horas</t>
  </si>
  <si>
    <t xml:space="preserve">PODEMOS HACERLO PQ TENEMOS CAPACIDAD SUFICIENTE </t>
  </si>
  <si>
    <t>DEBO DE HACERLO</t>
  </si>
  <si>
    <t>PRECIO OFERTADO</t>
  </si>
  <si>
    <t>C*V</t>
  </si>
  <si>
    <t xml:space="preserve">SI ACEPTAREMOS </t>
  </si>
  <si>
    <t>beneficio diferencial</t>
  </si>
  <si>
    <t xml:space="preserve">MEJORASIAMOS LA CUENTA DE RESULTSDO EN </t>
  </si>
  <si>
    <t>ELIMINAR EL TALLER II</t>
  </si>
  <si>
    <t>SUPRIMIR EL TALLER II</t>
  </si>
  <si>
    <t>SITUACION ACTUAL</t>
  </si>
  <si>
    <t>SITUACION FUTURO</t>
  </si>
  <si>
    <t>CF/%MC</t>
  </si>
  <si>
    <t>COMMISSIONAL AIRLINES</t>
  </si>
  <si>
    <t>1. Cuenta de resultados de C.A. Punto de equilibrio en número de viajes</t>
  </si>
  <si>
    <t>suponiendo un promedio de 200 pasajeros por viaje.</t>
  </si>
  <si>
    <t xml:space="preserve"> </t>
  </si>
  <si>
    <t>Costes fijos = 18.200.000 (enunciado)</t>
  </si>
  <si>
    <t>Costes variables = 6.240.000 (enunciado)</t>
  </si>
  <si>
    <t>Ventas = 200 pasajeros x 104 vuelos (enunciado) x 1.000 € vuelo (enunciado) =</t>
  </si>
  <si>
    <t>INGRESOS POR VENTAS</t>
  </si>
  <si>
    <t>.- CV</t>
  </si>
  <si>
    <t>.- CF</t>
  </si>
  <si>
    <t xml:space="preserve">RDO ACTIVIDAD </t>
  </si>
  <si>
    <t>P. Muerto = CF/P-CV</t>
  </si>
  <si>
    <t>PM (UM)</t>
  </si>
  <si>
    <t xml:space="preserve">Precio por viaje = 1.000 € x 200 pasajeros = </t>
  </si>
  <si>
    <t>CF =</t>
  </si>
  <si>
    <t>C.V. Por viaje = (enunciado)</t>
  </si>
  <si>
    <t>P. Muerto = CF/P-CV = 18.200.000 / (200.000 - 60.000) =</t>
  </si>
  <si>
    <t>viajes al año</t>
  </si>
  <si>
    <t>A la semana, 130 / 52 =</t>
  </si>
  <si>
    <t>2. ¿Cuántos pasajeros debería tener, de media, por cada vuelo (i + v)</t>
  </si>
  <si>
    <t>para no perder dinero y dar un regalo valorado en 60 €?</t>
  </si>
  <si>
    <t>Para hacer los cálculos, y como no quieren tener pérdidas, igualamos el beneficio a cero.</t>
  </si>
  <si>
    <t>Beneficio = ventas - CF - CV = 0</t>
  </si>
  <si>
    <t xml:space="preserve">Ventas = nº pasajeros x 1.000 € vuelo (enunciado) </t>
  </si>
  <si>
    <t>Costes fijos por vuelo = 18.200.000 / 104 vuelos =</t>
  </si>
  <si>
    <t>Costes variables = 60.000 (enunciado) + (60 (regalo) x nº pasajeros)</t>
  </si>
  <si>
    <t>0 = nº pasajeros x 1.000 € - 175.000 - 60.000 - (60 x nº pasajeros)</t>
  </si>
  <si>
    <t>nº pasajeros x 1.000 €  = 175.000 + 60.000  + (60 x nº pasajeros)</t>
  </si>
  <si>
    <t>940 x nº pasajeros = 235.000</t>
  </si>
  <si>
    <t>nº pasajeros = 235.000 / 940 =</t>
  </si>
  <si>
    <t>pasajeros</t>
  </si>
  <si>
    <t xml:space="preserve">3. Un tour operador les hace la siguiente oferta: 800 euros por pasajero </t>
  </si>
  <si>
    <t>con 150 pasajeros por vuelo. ¿Debería aceptar? Cuenta de resultados.</t>
  </si>
  <si>
    <t>PUEDO</t>
  </si>
  <si>
    <t xml:space="preserve">SI PORQUE TENGO CAPACIDAD OCIOSA </t>
  </si>
  <si>
    <t>DEBO</t>
  </si>
  <si>
    <t>MC&gt;0</t>
  </si>
  <si>
    <t>Ventas = 150 pasajeros x 800 € vuelo =</t>
  </si>
  <si>
    <t>Costes variables =</t>
  </si>
  <si>
    <t xml:space="preserve">Margen de contribucIÓN = </t>
  </si>
  <si>
    <t xml:space="preserve">SI ME INTERESA </t>
  </si>
  <si>
    <t>Hacen un vuelo cada 15 días, cada 2 semanas, por lo que hacen 52/2 = 26 vuelos al año.</t>
  </si>
  <si>
    <t>MC total = MC x nº vuelos = 60.000 x 26 =</t>
  </si>
  <si>
    <t>BENEFICIO DIFERENCIAL.</t>
  </si>
  <si>
    <t>CUENTA DE RESULTADOS</t>
  </si>
  <si>
    <t xml:space="preserve">Ventas = 20.800.000 (antes, punto 1) + (120.000 ingresos por vuelo x 26 vuelos) = </t>
  </si>
  <si>
    <t>20.800.000 + 3.120.000 =</t>
  </si>
  <si>
    <t>Costes variables = 6.240.000 (enunciado) + (60.000 cv por vuelo x 26 vuelos) =</t>
  </si>
  <si>
    <t>6.240.000 + 1.560.000 =</t>
  </si>
  <si>
    <t>4. Si la competencia suprime el regalo y baja el precio del billete a 850 €.</t>
  </si>
  <si>
    <t>¿Debería C.A. bajar también los precios?</t>
  </si>
  <si>
    <t>No podemos hacer cálculos pq no sabemos cuantos pasajeros volarían con nosotros si la</t>
  </si>
  <si>
    <t xml:space="preserve">competencia baja los precios, pero en general podemos decir que no se pueden bajar </t>
  </si>
  <si>
    <t>mucho los precios para no entrar en una guerra de precios que siempre va a ser malo.</t>
  </si>
  <si>
    <t>Quizá sea mejor suprimir también el regalo y bajar un poco los precios.</t>
  </si>
  <si>
    <t>BOMBAS CANALS</t>
  </si>
  <si>
    <t>Datos del enunciado</t>
  </si>
  <si>
    <t>Nº bombas fabricadas al año, 10.000 udes</t>
  </si>
  <si>
    <t>¡OJO!, costes de amortización son fijos en su totalidad</t>
  </si>
  <si>
    <t>C. Fijos</t>
  </si>
  <si>
    <t>C. Variables</t>
  </si>
  <si>
    <t>MMPP</t>
  </si>
  <si>
    <t>M.O.</t>
  </si>
  <si>
    <t>Amortiz.</t>
  </si>
  <si>
    <t>Gtos admin.</t>
  </si>
  <si>
    <t>Precio de venta, 35.000 €/udad.</t>
  </si>
  <si>
    <t>Comisión vendedores, 5% =</t>
  </si>
  <si>
    <t>Beneficio = P - CV - comis. - CF = 35.000 -14.400 - 1.750 - 10.600 =</t>
  </si>
  <si>
    <t>Como los costes están calculados sobre 10.000 udes, los C. Fijos totales serían,</t>
  </si>
  <si>
    <t>M.O. = 4.000 x 10.000 =</t>
  </si>
  <si>
    <t>GGF = 3.600 x 10.000 =</t>
  </si>
  <si>
    <t>Amortiz. = 2.000 x 10.000 =</t>
  </si>
  <si>
    <t>Gtos admin.=1.000x10.000=</t>
  </si>
  <si>
    <t>T O T A L, C.F.</t>
  </si>
  <si>
    <t>*10000</t>
  </si>
  <si>
    <t>C. Variables = CV + Comis. = 14.400 + 1.750 =</t>
  </si>
  <si>
    <t>16150=14400+175</t>
  </si>
  <si>
    <t>a) Punto de equilibrio, en unidades y en euros.</t>
  </si>
  <si>
    <t>P. Muerto = CF/P-CV = 106.000.000 / (35.000 - 16.150) =</t>
  </si>
  <si>
    <t>35000-16150</t>
  </si>
  <si>
    <t>P.M € = P.M unidades x Pcio vta = 5.623,34 x 35.000 =</t>
  </si>
  <si>
    <t>b) ¿Es mejor vender 10.000 udes a 35.000 €/udad o vender</t>
  </si>
  <si>
    <t>8.000 udes a 38.000 €/udad?</t>
  </si>
  <si>
    <t>Nos quedamos con la opción que nos proporcione un mayor Margen de Contribución.</t>
  </si>
  <si>
    <t>OPCIÓN 1</t>
  </si>
  <si>
    <t>MC = P. Venta - C.Variables = 35.000 - 16.150 =</t>
  </si>
  <si>
    <t>MC total = MC x nº udes vendid = 18.850 x 10.000 ude=</t>
  </si>
  <si>
    <t>OPCIÓN 2</t>
  </si>
  <si>
    <t>P.V. =</t>
  </si>
  <si>
    <t>Comisión = 38.000 x ,05 =</t>
  </si>
  <si>
    <t>C. Variables = CV + Comis. = 14.400 + 1.900 =</t>
  </si>
  <si>
    <t>MC = P. Venta - C.Variables = 38.000 - 16.300 =</t>
  </si>
  <si>
    <t>MC total = MC x nº udes vendid = 21.700 x 8.000 ude=</t>
  </si>
  <si>
    <t>Por lo que es mejor la primera opción</t>
  </si>
  <si>
    <t>c) Pedido especial del gobierno, de 2.000 bombas, al precio que cubra</t>
  </si>
  <si>
    <t>los gtos de fabricación más un beneficio de 18.000.000 €. ¿Deben aceptar?</t>
  </si>
  <si>
    <t xml:space="preserve">Como el MC anterior era de 18.850, no debería aceptar el pedido. Aunque, si nos hicieran el </t>
  </si>
  <si>
    <t>Calculamos lo que pagaría realmente el gobierno:</t>
  </si>
  <si>
    <t>- Pagará los C. Variables, 14.400 €.</t>
  </si>
  <si>
    <t>- Pagará los Ctes de fabricación (MO, GGF y amortiz), 4000 + 3.600 + 2.000 = 9.600.</t>
  </si>
  <si>
    <t>- No pagará los costes de administración ni habrá comisiones por ventas.</t>
  </si>
  <si>
    <t>- Pagará un beneficio de 18.000.000, que por bomba supone, 18.000.000/2.000 =</t>
  </si>
  <si>
    <t>Total q pagará el gobierno = 14.400 + 9.600 + 9.000 =</t>
  </si>
  <si>
    <t>MC = P. Venta - C.Variables = 33.000 - 14.400 =</t>
  </si>
  <si>
    <t>COSTE VABLE DE UNA JORNADA DE  VIAJE</t>
  </si>
  <si>
    <t>M-S-M</t>
  </si>
  <si>
    <t>COSTE DE L A MORT AUTOBUS</t>
  </si>
  <si>
    <t>*200</t>
  </si>
  <si>
    <t>GASOIL</t>
  </si>
  <si>
    <t>*1</t>
  </si>
  <si>
    <t>MANTENIMIENTO</t>
  </si>
  <si>
    <t>0,1*200</t>
  </si>
  <si>
    <t>PERSONAL</t>
  </si>
  <si>
    <t>120*2</t>
  </si>
  <si>
    <t>PEAJE</t>
  </si>
  <si>
    <t>*2</t>
  </si>
  <si>
    <t>LIMPIEZA</t>
  </si>
  <si>
    <t>5 DIAS A LA SEMANA</t>
  </si>
  <si>
    <t>I= CF+CV</t>
  </si>
  <si>
    <t>40 SEMANAS AL AÑO</t>
  </si>
  <si>
    <t>I= PV*5*40=</t>
  </si>
  <si>
    <t>200*PV</t>
  </si>
  <si>
    <t>PM POR VIAJE</t>
  </si>
  <si>
    <t>C*V=311</t>
  </si>
  <si>
    <t>CV=311*5*40=</t>
  </si>
  <si>
    <t>CF=</t>
  </si>
  <si>
    <t>200*PV=62200+21000</t>
  </si>
  <si>
    <t>PV=</t>
  </si>
  <si>
    <t>EUROS / VIAJE</t>
  </si>
  <si>
    <t xml:space="preserve">CUENTA DE RDOS </t>
  </si>
  <si>
    <t>..- CV</t>
  </si>
  <si>
    <t>MCOSNTRIBUCION</t>
  </si>
  <si>
    <t>..-CF</t>
  </si>
  <si>
    <t xml:space="preserve">RECUPERCION </t>
  </si>
  <si>
    <t>10000=5*40*PV-CF</t>
  </si>
  <si>
    <t>10000=200PV-83000</t>
  </si>
  <si>
    <t>MES DE JULIO</t>
  </si>
  <si>
    <t>NO HAU ACTIVIDAD</t>
  </si>
  <si>
    <t>MISMAS CONDICIONES</t>
  </si>
  <si>
    <t>PV OFERTADO</t>
  </si>
  <si>
    <t>20 JORNADAS</t>
  </si>
  <si>
    <t>SI PORQUE EN JULIO EL BUES ESTA PARADO</t>
  </si>
  <si>
    <t>CAPACIDAD OCIOSA</t>
  </si>
  <si>
    <t>PV</t>
  </si>
  <si>
    <t>MC TOTAL</t>
  </si>
  <si>
    <t>SABADOS</t>
  </si>
  <si>
    <t>M-A-M</t>
  </si>
  <si>
    <t>100 KM</t>
  </si>
  <si>
    <t>NO TIENE TUNEL</t>
  </si>
  <si>
    <t>PV OFERTADO 260 €</t>
  </si>
  <si>
    <t>*100</t>
  </si>
  <si>
    <t>0,1*100</t>
  </si>
  <si>
    <t>DEBEO</t>
  </si>
  <si>
    <t xml:space="preserve">OTRO AUTOBUS </t>
  </si>
  <si>
    <t>MAM</t>
  </si>
  <si>
    <t>180 KM</t>
  </si>
  <si>
    <t>CTE BUS</t>
  </si>
  <si>
    <t>KM</t>
  </si>
  <si>
    <t>1L/18 KM</t>
  </si>
  <si>
    <t>0,25 €/KM</t>
  </si>
  <si>
    <t>SEGURO</t>
  </si>
  <si>
    <t>.+ COTS ADMON</t>
  </si>
  <si>
    <t xml:space="preserve">CTES FINANCIEROS </t>
  </si>
  <si>
    <t>*180</t>
  </si>
  <si>
    <t>0,25*180</t>
  </si>
  <si>
    <t>.- COSTE FIOS</t>
  </si>
  <si>
    <t>4000+6000</t>
  </si>
  <si>
    <t>BENEFICIO DIFERENCIAL</t>
  </si>
  <si>
    <t xml:space="preserve">COSTES PROPORCIONALES </t>
  </si>
  <si>
    <t xml:space="preserve">COSTES ESTUCTURA </t>
  </si>
  <si>
    <t>MC=P*V-C*V</t>
  </si>
  <si>
    <t>CUENTA PREVISIONAL DE RESULTADOS</t>
  </si>
  <si>
    <t>MCT=MC*UF</t>
  </si>
  <si>
    <t>.- COTS VBLES</t>
  </si>
  <si>
    <t>..- CF</t>
  </si>
  <si>
    <t>RDO EXPLO</t>
  </si>
  <si>
    <t>PM(UM)</t>
  </si>
  <si>
    <t>%MC</t>
  </si>
  <si>
    <t>PM (UF)</t>
  </si>
  <si>
    <t>P*V-C*V</t>
  </si>
  <si>
    <t>25-15</t>
  </si>
  <si>
    <t xml:space="preserve">INDICES </t>
  </si>
  <si>
    <t>INDICE DE SEG DE LOS CF</t>
  </si>
  <si>
    <t>RDO</t>
  </si>
  <si>
    <t>X100</t>
  </si>
  <si>
    <t>50000/150000</t>
  </si>
  <si>
    <t>INDICE DE SEG DE LOS CV</t>
  </si>
  <si>
    <t>50000/300000</t>
  </si>
  <si>
    <t>INDICE DE EFICIENCIA COMERCIAL</t>
  </si>
  <si>
    <t>VN-PM UM</t>
  </si>
  <si>
    <t>500000-375000</t>
  </si>
  <si>
    <t>VN</t>
  </si>
  <si>
    <t>APALANCAMIENTO</t>
  </si>
  <si>
    <t>Bº</t>
  </si>
  <si>
    <t xml:space="preserve"> PRECIO DE VENTA  </t>
  </si>
  <si>
    <t xml:space="preserve">COSTES DE SUBACTIVIDAD </t>
  </si>
  <si>
    <t xml:space="preserve"> DEMANDA /ACTIVIDAD </t>
  </si>
  <si>
    <t xml:space="preserve"> UF AÑO </t>
  </si>
  <si>
    <t xml:space="preserve"> CAPACIDAD  </t>
  </si>
  <si>
    <t xml:space="preserve"> CONCEPTO </t>
  </si>
  <si>
    <t xml:space="preserve"> CF </t>
  </si>
  <si>
    <t xml:space="preserve"> CV </t>
  </si>
  <si>
    <t xml:space="preserve"> COSTE VARIABLE DE PRODUCCION </t>
  </si>
  <si>
    <t xml:space="preserve"> MATERIA PRIMAS  </t>
  </si>
  <si>
    <t xml:space="preserve"> COSTTES ELABORACION </t>
  </si>
  <si>
    <t xml:space="preserve"> COSNSUMO DE MMPP </t>
  </si>
  <si>
    <t>COSTES FIJOS OCUPADOS</t>
  </si>
  <si>
    <t>TASA DE ACTIV*CF</t>
  </si>
  <si>
    <t xml:space="preserve"> COSTES DISTRIBUCION </t>
  </si>
  <si>
    <t xml:space="preserve"> GTOS DE ELABORACION </t>
  </si>
  <si>
    <t xml:space="preserve"> CTES ADMON </t>
  </si>
  <si>
    <t xml:space="preserve"> CV DE PRODUCCION </t>
  </si>
  <si>
    <t>TASA DE SUBACTIV * CF</t>
  </si>
  <si>
    <t xml:space="preserve"> N UF FABRICADAS  </t>
  </si>
  <si>
    <t xml:space="preserve"> CUENTA DE RDOS  </t>
  </si>
  <si>
    <t xml:space="preserve"> C*V </t>
  </si>
  <si>
    <t xml:space="preserve"> VENTAS NETAS  </t>
  </si>
  <si>
    <t xml:space="preserve"> ..- CV DE PRODUCCION </t>
  </si>
  <si>
    <t xml:space="preserve"> C*V DE DISTRIBUCION </t>
  </si>
  <si>
    <t xml:space="preserve"> M BRUTO SOBRE COSTES VBLES </t>
  </si>
  <si>
    <t xml:space="preserve"> ..- CV DE DISTRIBUCIUON </t>
  </si>
  <si>
    <t xml:space="preserve"> CVLES DE DISTRIBUCION </t>
  </si>
  <si>
    <t xml:space="preserve"> MARGEN DE CONTRIBUCION </t>
  </si>
  <si>
    <t xml:space="preserve"> UF  </t>
  </si>
  <si>
    <t xml:space="preserve"> ..- CTES FIJOS </t>
  </si>
  <si>
    <t xml:space="preserve"> C*V DE DISTRIB </t>
  </si>
  <si>
    <t xml:space="preserve"> RDO DE EXPLOTACION  </t>
  </si>
  <si>
    <t xml:space="preserve"> PUNTO MUERTO </t>
  </si>
  <si>
    <t xml:space="preserve"> PM UM </t>
  </si>
  <si>
    <t xml:space="preserve"> % MC </t>
  </si>
  <si>
    <t xml:space="preserve"> PM UF </t>
  </si>
  <si>
    <t xml:space="preserve"> PV-C*V </t>
  </si>
  <si>
    <t>25-(11+2)</t>
  </si>
  <si>
    <t xml:space="preserve"> INDICES  </t>
  </si>
  <si>
    <t>INDICE SEG CV</t>
  </si>
  <si>
    <t>CV TOTALES</t>
  </si>
  <si>
    <t>INDICE SEG CF</t>
  </si>
  <si>
    <t>CF TOTALES</t>
  </si>
  <si>
    <t xml:space="preserve">IND SEG SDE VETAS </t>
  </si>
  <si>
    <t>VN-PM</t>
  </si>
  <si>
    <t>7500000-4375000</t>
  </si>
  <si>
    <t>300000-175000</t>
  </si>
  <si>
    <t xml:space="preserve"> PEDIDO ESPECIAL </t>
  </si>
  <si>
    <t xml:space="preserve"> PUEDO </t>
  </si>
  <si>
    <t xml:space="preserve"> UF OFERTADAS 200.0000 </t>
  </si>
  <si>
    <t xml:space="preserve"> SI PORQUE TENGO 200.000 UF LIBRES  </t>
  </si>
  <si>
    <t xml:space="preserve"> CAPACIDAD OCIOSA 500.000-300.000 </t>
  </si>
  <si>
    <t xml:space="preserve"> DEBO </t>
  </si>
  <si>
    <t xml:space="preserve"> MC&gt;0 </t>
  </si>
  <si>
    <t xml:space="preserve"> PV </t>
  </si>
  <si>
    <t xml:space="preserve"> MC </t>
  </si>
  <si>
    <t xml:space="preserve"> ACEPTAMOS LA OFERTA  </t>
  </si>
  <si>
    <t>MC TOTAL=</t>
  </si>
  <si>
    <t>Bº DIFERENCIAL</t>
  </si>
  <si>
    <t xml:space="preserve"> CRREMA ENRIQUECIDA </t>
  </si>
  <si>
    <t xml:space="preserve"> EXEDENTE DE CAPACIDAD  </t>
  </si>
  <si>
    <t xml:space="preserve"> COSTE VBLE UNITARIO DE CREMA ENRIQUECIDA </t>
  </si>
  <si>
    <t xml:space="preserve"> C*V DE PROD DE CREMA NORMAL </t>
  </si>
  <si>
    <t xml:space="preserve"> C*V PROPIOS DE LA CREMA ENRIQ </t>
  </si>
  <si>
    <t xml:space="preserve"> C*V DE LA CREAM ENRIQUECIDA </t>
  </si>
  <si>
    <t>35-17</t>
  </si>
  <si>
    <t xml:space="preserve"> INGRESOS DIFERENCIALES  </t>
  </si>
  <si>
    <t xml:space="preserve"> 200.000*(35 -25)</t>
  </si>
  <si>
    <t xml:space="preserve"> COSTES DIFERRENCIALES  </t>
  </si>
  <si>
    <t>cv</t>
  </si>
  <si>
    <t xml:space="preserve"> 4*200.000 </t>
  </si>
  <si>
    <t>cf</t>
  </si>
  <si>
    <t xml:space="preserve"> Bº DIFERENCIAL </t>
  </si>
  <si>
    <t xml:space="preserve">DECISIONES A ALTA  CAPACIDAD </t>
  </si>
  <si>
    <t xml:space="preserve">PLENA OCUPACION </t>
  </si>
  <si>
    <t xml:space="preserve">MARCA PROPIA </t>
  </si>
  <si>
    <t>MARCA BLANCA O MARCA PROPIA</t>
  </si>
  <si>
    <t>MARCAPROPIA</t>
  </si>
  <si>
    <t>MC=12</t>
  </si>
  <si>
    <t>NOS QUEDAREMOS CON LA QUE MAYOR SEA SU MC</t>
  </si>
  <si>
    <t>LA OFERTA NO ME INTERESA LA OFERTA DE HACER MARCA BLANCA</t>
  </si>
  <si>
    <t xml:space="preserve">MARCA BLANCA </t>
  </si>
  <si>
    <t>MC=3</t>
  </si>
  <si>
    <t>CREMA NORMAL</t>
  </si>
  <si>
    <t>CREMA NORMAL 0 CREMA ENRIQUECIDA</t>
  </si>
  <si>
    <t>CREMA ENRIQIECIDA</t>
  </si>
  <si>
    <t>Mc=18</t>
  </si>
  <si>
    <t>crema enriqiecida CF DIRECTOS</t>
  </si>
  <si>
    <t>UMBRAL DE RENTABILIDAD DE CREMA ENRIQUECIDA</t>
  </si>
  <si>
    <t>CF DIRECTO INCREMENTALES</t>
  </si>
  <si>
    <t>75.000 UF DE CREMA ENRIQUECIDO</t>
  </si>
  <si>
    <t>MC INCREMENTAL</t>
  </si>
  <si>
    <t>.18-12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</si>
</sst>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p_t_a_-;\-* #,##0\ _p_t_a_-;_-* &quot;-&quot;\ _p_t_a_-;_-@_-"/>
    <numFmt numFmtId="166" formatCode="_-* #,##0.00\ _p_t_a_-;\-* #,##0.00\ _p_t_a_-;_-* &quot;-&quot;??\ _p_t_a_-;_-@_-"/>
    <numFmt numFmtId="167" formatCode="_-* #,##0\ _P_t_s_-;\-* #,##0\ _P_t_s_-;_-* &quot;-&quot;\ _P_t_s_-;_-@_-"/>
    <numFmt numFmtId="168" formatCode="_-* #,##0.0\ _P_t_s_-;\-* #,##0.0\ _P_t_s_-;_-* &quot;-&quot;\ _P_t_s_-;_-@_-"/>
    <numFmt numFmtId="169" formatCode="_-* #,##0.0\ _p_t_a_-;\-* #,##0.0\ _p_t_a_-;_-* &quot;-&quot;\ _p_t_a_-;_-@_-"/>
    <numFmt numFmtId="170" formatCode="_-* #,##0.00\ _p_t_a_-;\-* #,##0.00\ _p_t_a_-;_-* &quot;-&quot;\ _p_t_a_-;_-@_-"/>
    <numFmt numFmtId="171" formatCode="_-* #,##0.00\ _P_t_s_-;\-* #,##0.00\ _P_t_s_-;_-* &quot;-&quot;\ _P_t_s_-;_-@_-"/>
    <numFmt numFmtId="172" formatCode="_-* #,##0\ _p_t_a_-;\-* #,##0\ _p_t_a_-;_-* &quot;-&quot;??\ _p_t_a_-;_-@_-"/>
    <numFmt numFmtId="173" formatCode="_-* #,##0\ _€_-;\-* #,##0\ _€_-;_-* &quot;-&quot;??\ _€_-;_-@_-"/>
    <numFmt numFmtId="174" formatCode="_-* #,##0.00000\ _€_-;\-* #,##0.00000\ _€_-;_-* &quot;-&quot;??\ _€_-;_-@_-"/>
    <numFmt numFmtId="175" formatCode="_-* #,##0.00000000\ _€_-;\-* #,##0.00000000\ _€_-;_-* &quot;-&quot;??\ _€_-;_-@_-"/>
    <numFmt numFmtId="176" formatCode="_-* #,##0.000000000000\ _€_-;\-* #,##0.000000000000\ _€_-;_-* &quot;-&quot;??\ _€_-;_-@_-"/>
    <numFmt numFmtId="177" formatCode="_-* #,##0.0000000\ _€_-;\-* #,##0.0000000\ _€_-;_-* &quot;-&quot;??\ _€_-;_-@_-"/>
    <numFmt numFmtId="178" formatCode="_-* #,##0.000000\ _€_-;\-* #,##0.000000\ _€_-;_-* &quot;-&quot;??\ _€_-;_-@_-"/>
    <numFmt numFmtId="179" formatCode="_-* #,##0.000\ _€_-;\-* #,##0.000\ _€_-;_-* &quot;-&quot;??\ _€_-;_-@_-"/>
    <numFmt numFmtId="180" formatCode="_-* #,##0.0000\ _€_-;\-* #,##0.0000\ _€_-;_-* &quot;-&quot;??\ _€_-;_-@_-"/>
    <numFmt numFmtId="181" formatCode="0.000"/>
    <numFmt numFmtId="182" formatCode="0.0000"/>
    <numFmt numFmtId="183" formatCode="0.00000%"/>
    <numFmt numFmtId="184" formatCode="0.0000000000%"/>
    <numFmt numFmtId="185" formatCode="#,##0.0"/>
    <numFmt numFmtId="186" formatCode="#,##0.00\ &quot;€&quot;"/>
    <numFmt numFmtId="187" formatCode="0.000000000000%"/>
    <numFmt numFmtId="188" formatCode="0.0000%"/>
  </numFmts>
  <fonts count="26" x14ac:knownFonts="1">
    <font>
      <sz val="10"/>
      <name val="Arial"/>
    </font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strike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Arial"/>
      <family val="2"/>
    </font>
    <font>
      <sz val="8"/>
      <color theme="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0"/>
      <color theme="0"/>
      <name val="Arial"/>
      <family val="2"/>
    </font>
    <font>
      <strike/>
      <sz val="1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9">
    <xf numFmtId="0" fontId="0" fillId="0" borderId="0" xfId="0"/>
    <xf numFmtId="166" fontId="3" fillId="0" borderId="1" xfId="1" applyFont="1" applyFill="1" applyBorder="1"/>
    <xf numFmtId="166" fontId="3" fillId="0" borderId="2" xfId="1" applyFont="1" applyFill="1" applyBorder="1"/>
    <xf numFmtId="166" fontId="3" fillId="0" borderId="3" xfId="1" applyFont="1" applyFill="1" applyBorder="1"/>
    <xf numFmtId="166" fontId="3" fillId="0" borderId="4" xfId="1" applyFont="1" applyFill="1" applyBorder="1" applyAlignment="1">
      <alignment horizontal="right"/>
    </xf>
    <xf numFmtId="166" fontId="3" fillId="0" borderId="4" xfId="1" applyFont="1" applyFill="1" applyBorder="1"/>
    <xf numFmtId="166" fontId="3" fillId="0" borderId="0" xfId="1" applyFont="1" applyFill="1"/>
    <xf numFmtId="165" fontId="3" fillId="0" borderId="0" xfId="3" applyFont="1" applyFill="1"/>
    <xf numFmtId="165" fontId="2" fillId="0" borderId="0" xfId="3" applyFont="1" applyFill="1"/>
    <xf numFmtId="167" fontId="3" fillId="0" borderId="0" xfId="3" applyNumberFormat="1" applyFont="1" applyFill="1"/>
    <xf numFmtId="168" fontId="3" fillId="0" borderId="0" xfId="3" applyNumberFormat="1" applyFont="1" applyFill="1"/>
    <xf numFmtId="165" fontId="3" fillId="0" borderId="0" xfId="3" applyFont="1" applyFill="1" applyAlignment="1">
      <alignment horizontal="center"/>
    </xf>
    <xf numFmtId="165" fontId="3" fillId="0" borderId="4" xfId="3" applyFont="1" applyFill="1" applyBorder="1" applyAlignment="1">
      <alignment horizontal="center"/>
    </xf>
    <xf numFmtId="167" fontId="3" fillId="0" borderId="4" xfId="3" applyNumberFormat="1" applyFont="1" applyFill="1" applyBorder="1" applyAlignment="1">
      <alignment horizontal="center"/>
    </xf>
    <xf numFmtId="165" fontId="3" fillId="0" borderId="4" xfId="3" applyFont="1" applyFill="1" applyBorder="1"/>
    <xf numFmtId="167" fontId="3" fillId="0" borderId="4" xfId="3" applyNumberFormat="1" applyFont="1" applyFill="1" applyBorder="1"/>
    <xf numFmtId="165" fontId="3" fillId="2" borderId="4" xfId="3" applyFont="1" applyFill="1" applyBorder="1"/>
    <xf numFmtId="167" fontId="3" fillId="2" borderId="4" xfId="3" applyNumberFormat="1" applyFont="1" applyFill="1" applyBorder="1"/>
    <xf numFmtId="171" fontId="3" fillId="2" borderId="4" xfId="3" applyNumberFormat="1" applyFont="1" applyFill="1" applyBorder="1"/>
    <xf numFmtId="165" fontId="3" fillId="0" borderId="5" xfId="3" applyFont="1" applyFill="1" applyBorder="1" applyAlignment="1">
      <alignment horizontal="center"/>
    </xf>
    <xf numFmtId="165" fontId="2" fillId="0" borderId="4" xfId="3" applyFont="1" applyFill="1" applyBorder="1"/>
    <xf numFmtId="165" fontId="16" fillId="0" borderId="4" xfId="3" applyFont="1" applyFill="1" applyBorder="1"/>
    <xf numFmtId="165" fontId="16" fillId="0" borderId="0" xfId="3" applyFont="1" applyFill="1"/>
    <xf numFmtId="167" fontId="16" fillId="0" borderId="0" xfId="3" applyNumberFormat="1" applyFont="1" applyFill="1"/>
    <xf numFmtId="168" fontId="16" fillId="0" borderId="0" xfId="3" applyNumberFormat="1" applyFont="1" applyFill="1"/>
    <xf numFmtId="165" fontId="16" fillId="0" borderId="0" xfId="3" applyFont="1" applyFill="1" applyAlignment="1">
      <alignment horizontal="center"/>
    </xf>
    <xf numFmtId="167" fontId="16" fillId="0" borderId="4" xfId="3" applyNumberFormat="1" applyFont="1" applyFill="1" applyBorder="1"/>
    <xf numFmtId="165" fontId="16" fillId="0" borderId="6" xfId="3" applyFont="1" applyFill="1" applyBorder="1" applyAlignment="1">
      <alignment horizontal="center"/>
    </xf>
    <xf numFmtId="167" fontId="16" fillId="0" borderId="6" xfId="3" applyNumberFormat="1" applyFont="1" applyFill="1" applyBorder="1" applyAlignment="1">
      <alignment horizontal="center"/>
    </xf>
    <xf numFmtId="165" fontId="3" fillId="3" borderId="4" xfId="3" applyFont="1" applyFill="1" applyBorder="1"/>
    <xf numFmtId="167" fontId="3" fillId="3" borderId="4" xfId="3" applyNumberFormat="1" applyFont="1" applyFill="1" applyBorder="1"/>
    <xf numFmtId="165" fontId="3" fillId="2" borderId="0" xfId="3" applyFont="1" applyFill="1"/>
    <xf numFmtId="171" fontId="3" fillId="4" borderId="0" xfId="3" applyNumberFormat="1" applyFont="1" applyFill="1"/>
    <xf numFmtId="167" fontId="3" fillId="5" borderId="4" xfId="3" applyNumberFormat="1" applyFont="1" applyFill="1" applyBorder="1"/>
    <xf numFmtId="168" fontId="3" fillId="0" borderId="4" xfId="3" applyNumberFormat="1" applyFont="1" applyFill="1" applyBorder="1"/>
    <xf numFmtId="166" fontId="0" fillId="0" borderId="0" xfId="1" applyFont="1"/>
    <xf numFmtId="166" fontId="0" fillId="0" borderId="4" xfId="1" applyFont="1" applyBorder="1"/>
    <xf numFmtId="166" fontId="5" fillId="0" borderId="4" xfId="1" applyFont="1" applyBorder="1"/>
    <xf numFmtId="166" fontId="5" fillId="6" borderId="4" xfId="1" applyFont="1" applyFill="1" applyBorder="1"/>
    <xf numFmtId="166" fontId="5" fillId="0" borderId="0" xfId="1" applyFont="1"/>
    <xf numFmtId="166" fontId="6" fillId="0" borderId="0" xfId="1" applyFont="1"/>
    <xf numFmtId="166" fontId="7" fillId="5" borderId="0" xfId="1" applyFont="1" applyFill="1"/>
    <xf numFmtId="166" fontId="0" fillId="0" borderId="7" xfId="1" applyFont="1" applyBorder="1"/>
    <xf numFmtId="166" fontId="0" fillId="0" borderId="8" xfId="1" applyFont="1" applyBorder="1"/>
    <xf numFmtId="166" fontId="0" fillId="0" borderId="9" xfId="1" applyFont="1" applyBorder="1"/>
    <xf numFmtId="166" fontId="0" fillId="0" borderId="10" xfId="1" applyFont="1" applyBorder="1"/>
    <xf numFmtId="166" fontId="5" fillId="0" borderId="0" xfId="1" applyFont="1" applyBorder="1"/>
    <xf numFmtId="166" fontId="0" fillId="0" borderId="0" xfId="1" applyFont="1" applyBorder="1"/>
    <xf numFmtId="166" fontId="0" fillId="0" borderId="11" xfId="1" applyFont="1" applyBorder="1"/>
    <xf numFmtId="166" fontId="7" fillId="2" borderId="10" xfId="1" applyFont="1" applyFill="1" applyBorder="1"/>
    <xf numFmtId="166" fontId="7" fillId="5" borderId="0" xfId="1" applyFont="1" applyFill="1" applyBorder="1"/>
    <xf numFmtId="166" fontId="5" fillId="0" borderId="11" xfId="1" applyFont="1" applyBorder="1"/>
    <xf numFmtId="166" fontId="5" fillId="2" borderId="10" xfId="1" applyFont="1" applyFill="1" applyBorder="1"/>
    <xf numFmtId="166" fontId="5" fillId="0" borderId="10" xfId="1" applyFont="1" applyBorder="1"/>
    <xf numFmtId="166" fontId="0" fillId="0" borderId="12" xfId="1" applyFont="1" applyBorder="1"/>
    <xf numFmtId="166" fontId="0" fillId="0" borderId="13" xfId="1" applyFont="1" applyBorder="1"/>
    <xf numFmtId="166" fontId="0" fillId="0" borderId="14" xfId="1" applyFont="1" applyBorder="1"/>
    <xf numFmtId="166" fontId="5" fillId="5" borderId="0" xfId="1" applyFont="1" applyFill="1"/>
    <xf numFmtId="166" fontId="7" fillId="6" borderId="0" xfId="1" applyFont="1" applyFill="1"/>
    <xf numFmtId="0" fontId="5" fillId="0" borderId="0" xfId="0" applyFont="1"/>
    <xf numFmtId="165" fontId="17" fillId="0" borderId="0" xfId="2" applyFont="1" applyFill="1" applyAlignment="1">
      <alignment horizontal="center"/>
    </xf>
    <xf numFmtId="165" fontId="17" fillId="0" borderId="0" xfId="2" applyFont="1" applyFill="1"/>
    <xf numFmtId="165" fontId="18" fillId="2" borderId="0" xfId="2" applyFont="1" applyFill="1"/>
    <xf numFmtId="165" fontId="17" fillId="2" borderId="4" xfId="2" applyFont="1" applyFill="1" applyBorder="1"/>
    <xf numFmtId="170" fontId="17" fillId="2" borderId="4" xfId="2" applyNumberFormat="1" applyFont="1" applyFill="1" applyBorder="1"/>
    <xf numFmtId="165" fontId="18" fillId="0" borderId="0" xfId="2" applyFont="1" applyFill="1"/>
    <xf numFmtId="165" fontId="17" fillId="0" borderId="15" xfId="2" applyFont="1" applyFill="1" applyBorder="1"/>
    <xf numFmtId="165" fontId="17" fillId="0" borderId="4" xfId="2" applyFont="1" applyFill="1" applyBorder="1"/>
    <xf numFmtId="165" fontId="17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right"/>
    </xf>
    <xf numFmtId="169" fontId="17" fillId="0" borderId="4" xfId="2" applyNumberFormat="1" applyFont="1" applyFill="1" applyBorder="1"/>
    <xf numFmtId="165" fontId="17" fillId="0" borderId="0" xfId="2" applyFont="1" applyFill="1" applyBorder="1"/>
    <xf numFmtId="165" fontId="17" fillId="2" borderId="0" xfId="2" applyFont="1" applyFill="1"/>
    <xf numFmtId="165" fontId="17" fillId="0" borderId="16" xfId="2" applyFont="1" applyFill="1" applyBorder="1"/>
    <xf numFmtId="165" fontId="17" fillId="0" borderId="16" xfId="2" applyFont="1" applyFill="1" applyBorder="1" applyAlignment="1">
      <alignment horizontal="center"/>
    </xf>
    <xf numFmtId="165" fontId="18" fillId="0" borderId="0" xfId="2" applyFont="1" applyFill="1" applyBorder="1"/>
    <xf numFmtId="170" fontId="17" fillId="0" borderId="0" xfId="2" applyNumberFormat="1" applyFont="1" applyFill="1" applyBorder="1"/>
    <xf numFmtId="165" fontId="18" fillId="0" borderId="4" xfId="2" applyFont="1" applyFill="1" applyBorder="1"/>
    <xf numFmtId="170" fontId="17" fillId="0" borderId="4" xfId="2" applyNumberFormat="1" applyFont="1" applyFill="1" applyBorder="1"/>
    <xf numFmtId="165" fontId="18" fillId="2" borderId="4" xfId="2" applyFont="1" applyFill="1" applyBorder="1"/>
    <xf numFmtId="169" fontId="17" fillId="2" borderId="4" xfId="2" applyNumberFormat="1" applyFont="1" applyFill="1" applyBorder="1"/>
    <xf numFmtId="166" fontId="2" fillId="0" borderId="0" xfId="1" applyFont="1" applyFill="1"/>
    <xf numFmtId="166" fontId="3" fillId="0" borderId="4" xfId="1" applyFont="1" applyFill="1" applyBorder="1" applyAlignment="1">
      <alignment horizontal="center"/>
    </xf>
    <xf numFmtId="166" fontId="2" fillId="0" borderId="1" xfId="1" applyFont="1" applyFill="1" applyBorder="1"/>
    <xf numFmtId="166" fontId="3" fillId="0" borderId="0" xfId="1" applyFont="1" applyFill="1" applyAlignment="1">
      <alignment horizontal="center"/>
    </xf>
    <xf numFmtId="166" fontId="2" fillId="0" borderId="0" xfId="1" applyFont="1" applyFill="1" applyBorder="1"/>
    <xf numFmtId="166" fontId="3" fillId="0" borderId="0" xfId="1" applyFont="1" applyFill="1" applyBorder="1"/>
    <xf numFmtId="166" fontId="3" fillId="0" borderId="17" xfId="1" applyFont="1" applyFill="1" applyBorder="1"/>
    <xf numFmtId="166" fontId="3" fillId="0" borderId="18" xfId="1" applyFont="1" applyFill="1" applyBorder="1"/>
    <xf numFmtId="166" fontId="3" fillId="0" borderId="19" xfId="1" applyFont="1" applyFill="1" applyBorder="1"/>
    <xf numFmtId="166" fontId="3" fillId="0" borderId="20" xfId="1" applyFont="1" applyFill="1" applyBorder="1"/>
    <xf numFmtId="166" fontId="2" fillId="0" borderId="4" xfId="1" applyFont="1" applyFill="1" applyBorder="1"/>
    <xf numFmtId="166" fontId="3" fillId="0" borderId="6" xfId="1" applyFont="1" applyFill="1" applyBorder="1"/>
    <xf numFmtId="166" fontId="4" fillId="0" borderId="4" xfId="1" applyFont="1" applyFill="1" applyBorder="1" applyAlignment="1">
      <alignment horizontal="left"/>
    </xf>
    <xf numFmtId="166" fontId="2" fillId="0" borderId="3" xfId="1" applyFont="1" applyFill="1" applyBorder="1"/>
    <xf numFmtId="166" fontId="3" fillId="0" borderId="17" xfId="1" applyFont="1" applyFill="1" applyBorder="1" applyAlignment="1">
      <alignment horizontal="center"/>
    </xf>
    <xf numFmtId="166" fontId="3" fillId="0" borderId="18" xfId="1" applyFont="1" applyFill="1" applyBorder="1" applyAlignment="1">
      <alignment horizontal="center"/>
    </xf>
    <xf numFmtId="166" fontId="3" fillId="0" borderId="21" xfId="1" applyFont="1" applyFill="1" applyBorder="1"/>
    <xf numFmtId="166" fontId="3" fillId="0" borderId="22" xfId="1" applyFont="1" applyFill="1" applyBorder="1"/>
    <xf numFmtId="166" fontId="16" fillId="0" borderId="0" xfId="1" applyFont="1" applyFill="1"/>
    <xf numFmtId="166" fontId="19" fillId="0" borderId="0" xfId="1" applyFont="1" applyFill="1"/>
    <xf numFmtId="166" fontId="19" fillId="0" borderId="4" xfId="1" applyFont="1" applyFill="1" applyBorder="1"/>
    <xf numFmtId="166" fontId="16" fillId="0" borderId="4" xfId="1" applyFont="1" applyFill="1" applyBorder="1"/>
    <xf numFmtId="166" fontId="16" fillId="0" borderId="4" xfId="1" applyFont="1" applyFill="1" applyBorder="1" applyAlignment="1">
      <alignment horizontal="center"/>
    </xf>
    <xf numFmtId="166" fontId="16" fillId="0" borderId="6" xfId="1" applyFont="1" applyFill="1" applyBorder="1"/>
    <xf numFmtId="166" fontId="16" fillId="0" borderId="4" xfId="1" applyFont="1" applyFill="1" applyBorder="1" applyAlignment="1">
      <alignment horizontal="right"/>
    </xf>
    <xf numFmtId="166" fontId="16" fillId="0" borderId="0" xfId="1" applyFont="1" applyFill="1" applyBorder="1"/>
    <xf numFmtId="166" fontId="16" fillId="0" borderId="1" xfId="1" applyFont="1" applyFill="1" applyBorder="1"/>
    <xf numFmtId="166" fontId="16" fillId="0" borderId="2" xfId="1" applyFont="1" applyFill="1" applyBorder="1"/>
    <xf numFmtId="166" fontId="16" fillId="0" borderId="3" xfId="1" applyFont="1" applyFill="1" applyBorder="1"/>
    <xf numFmtId="166" fontId="20" fillId="0" borderId="4" xfId="1" applyFont="1" applyFill="1" applyBorder="1" applyAlignment="1">
      <alignment horizontal="left"/>
    </xf>
    <xf numFmtId="166" fontId="19" fillId="0" borderId="1" xfId="1" applyFont="1" applyFill="1" applyBorder="1"/>
    <xf numFmtId="166" fontId="19" fillId="0" borderId="3" xfId="1" applyFont="1" applyFill="1" applyBorder="1"/>
    <xf numFmtId="166" fontId="16" fillId="0" borderId="0" xfId="1" applyFont="1" applyFill="1" applyAlignment="1">
      <alignment horizontal="center"/>
    </xf>
    <xf numFmtId="166" fontId="16" fillId="0" borderId="17" xfId="1" applyFont="1" applyFill="1" applyBorder="1" applyAlignment="1">
      <alignment horizontal="center"/>
    </xf>
    <xf numFmtId="166" fontId="16" fillId="0" borderId="18" xfId="1" applyFont="1" applyFill="1" applyBorder="1" applyAlignment="1">
      <alignment horizontal="center"/>
    </xf>
    <xf numFmtId="166" fontId="16" fillId="0" borderId="21" xfId="1" applyFont="1" applyFill="1" applyBorder="1"/>
    <xf numFmtId="166" fontId="16" fillId="0" borderId="22" xfId="1" applyFont="1" applyFill="1" applyBorder="1"/>
    <xf numFmtId="166" fontId="16" fillId="0" borderId="19" xfId="1" applyFont="1" applyFill="1" applyBorder="1"/>
    <xf numFmtId="166" fontId="16" fillId="0" borderId="20" xfId="1" applyFont="1" applyFill="1" applyBorder="1"/>
    <xf numFmtId="166" fontId="16" fillId="0" borderId="15" xfId="1" applyFont="1" applyFill="1" applyBorder="1"/>
    <xf numFmtId="166" fontId="3" fillId="7" borderId="3" xfId="1" applyFont="1" applyFill="1" applyBorder="1"/>
    <xf numFmtId="166" fontId="3" fillId="7" borderId="4" xfId="1" applyFont="1" applyFill="1" applyBorder="1"/>
    <xf numFmtId="166" fontId="3" fillId="7" borderId="0" xfId="1" applyFont="1" applyFill="1"/>
    <xf numFmtId="166" fontId="3" fillId="8" borderId="0" xfId="1" applyFont="1" applyFill="1"/>
    <xf numFmtId="166" fontId="3" fillId="8" borderId="3" xfId="1" applyFont="1" applyFill="1" applyBorder="1"/>
    <xf numFmtId="166" fontId="3" fillId="8" borderId="4" xfId="1" applyFont="1" applyFill="1" applyBorder="1"/>
    <xf numFmtId="166" fontId="2" fillId="0" borderId="4" xfId="1" applyFont="1" applyFill="1" applyBorder="1" applyAlignment="1">
      <alignment horizontal="right"/>
    </xf>
    <xf numFmtId="166" fontId="3" fillId="2" borderId="4" xfId="1" applyFont="1" applyFill="1" applyBorder="1"/>
    <xf numFmtId="166" fontId="3" fillId="2" borderId="19" xfId="1" applyFont="1" applyFill="1" applyBorder="1"/>
    <xf numFmtId="166" fontId="21" fillId="0" borderId="4" xfId="1" applyFont="1" applyFill="1" applyBorder="1"/>
    <xf numFmtId="166" fontId="21" fillId="0" borderId="0" xfId="1" applyFont="1" applyFill="1"/>
    <xf numFmtId="166" fontId="21" fillId="2" borderId="4" xfId="1" applyFont="1" applyFill="1" applyBorder="1"/>
    <xf numFmtId="173" fontId="21" fillId="9" borderId="4" xfId="1" applyNumberFormat="1" applyFont="1" applyFill="1" applyBorder="1"/>
    <xf numFmtId="173" fontId="21" fillId="10" borderId="4" xfId="1" applyNumberFormat="1" applyFont="1" applyFill="1" applyBorder="1"/>
    <xf numFmtId="173" fontId="21" fillId="0" borderId="4" xfId="1" applyNumberFormat="1" applyFont="1" applyFill="1" applyBorder="1"/>
    <xf numFmtId="166" fontId="21" fillId="0" borderId="0" xfId="1" applyFont="1" applyFill="1" applyAlignment="1">
      <alignment horizontal="center"/>
    </xf>
    <xf numFmtId="166" fontId="21" fillId="0" borderId="4" xfId="1" applyFont="1" applyFill="1" applyBorder="1" applyAlignment="1">
      <alignment horizontal="center" vertical="center"/>
    </xf>
    <xf numFmtId="166" fontId="21" fillId="0" borderId="4" xfId="1" applyFont="1" applyFill="1" applyBorder="1" applyAlignment="1">
      <alignment horizontal="center" vertical="center" wrapText="1"/>
    </xf>
    <xf numFmtId="166" fontId="21" fillId="0" borderId="0" xfId="1" applyFont="1" applyFill="1" applyBorder="1"/>
    <xf numFmtId="173" fontId="21" fillId="11" borderId="6" xfId="1" applyNumberFormat="1" applyFont="1" applyFill="1" applyBorder="1"/>
    <xf numFmtId="173" fontId="21" fillId="2" borderId="4" xfId="1" applyNumberFormat="1" applyFont="1" applyFill="1" applyBorder="1"/>
    <xf numFmtId="174" fontId="21" fillId="0" borderId="4" xfId="1" applyNumberFormat="1" applyFont="1" applyFill="1" applyBorder="1"/>
    <xf numFmtId="166" fontId="21" fillId="0" borderId="4" xfId="1" applyFont="1" applyFill="1" applyBorder="1" applyAlignment="1">
      <alignment vertical="center"/>
    </xf>
    <xf numFmtId="173" fontId="21" fillId="11" borderId="4" xfId="1" applyNumberFormat="1" applyFont="1" applyFill="1" applyBorder="1"/>
    <xf numFmtId="166" fontId="15" fillId="0" borderId="0" xfId="1" applyFont="1" applyFill="1"/>
    <xf numFmtId="9" fontId="21" fillId="0" borderId="4" xfId="5" applyFont="1" applyFill="1" applyBorder="1"/>
    <xf numFmtId="0" fontId="21" fillId="0" borderId="0" xfId="0" applyFont="1"/>
    <xf numFmtId="0" fontId="22" fillId="0" borderId="4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3" fontId="21" fillId="0" borderId="4" xfId="0" applyNumberFormat="1" applyFont="1" applyBorder="1" applyAlignment="1">
      <alignment vertical="center" wrapText="1"/>
    </xf>
    <xf numFmtId="3" fontId="21" fillId="0" borderId="0" xfId="0" applyNumberFormat="1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vertical="center" wrapText="1"/>
    </xf>
    <xf numFmtId="0" fontId="21" fillId="0" borderId="4" xfId="0" applyFont="1" applyBorder="1"/>
    <xf numFmtId="3" fontId="21" fillId="0" borderId="4" xfId="0" applyNumberFormat="1" applyFont="1" applyBorder="1"/>
    <xf numFmtId="164" fontId="21" fillId="0" borderId="0" xfId="0" applyNumberFormat="1" applyFont="1"/>
    <xf numFmtId="0" fontId="21" fillId="0" borderId="0" xfId="0" applyFont="1" applyAlignment="1">
      <alignment horizontal="left" vertical="center"/>
    </xf>
    <xf numFmtId="166" fontId="21" fillId="0" borderId="4" xfId="1" applyFont="1" applyFill="1" applyBorder="1" applyAlignment="1">
      <alignment horizontal="center"/>
    </xf>
    <xf numFmtId="166" fontId="21" fillId="0" borderId="4" xfId="1" applyFont="1" applyFill="1" applyBorder="1" applyAlignment="1"/>
    <xf numFmtId="166" fontId="21" fillId="2" borderId="0" xfId="1" applyFont="1" applyFill="1"/>
    <xf numFmtId="166" fontId="21" fillId="7" borderId="0" xfId="1" applyFont="1" applyFill="1"/>
    <xf numFmtId="166" fontId="21" fillId="2" borderId="15" xfId="1" applyFont="1" applyFill="1" applyBorder="1"/>
    <xf numFmtId="164" fontId="23" fillId="0" borderId="0" xfId="1" applyNumberFormat="1" applyFont="1"/>
    <xf numFmtId="164" fontId="23" fillId="0" borderId="4" xfId="1" applyNumberFormat="1" applyFont="1" applyBorder="1" applyAlignment="1">
      <alignment vertical="center" wrapText="1"/>
    </xf>
    <xf numFmtId="164" fontId="23" fillId="0" borderId="4" xfId="1" applyNumberFormat="1" applyFont="1" applyBorder="1" applyAlignment="1">
      <alignment vertical="center"/>
    </xf>
    <xf numFmtId="173" fontId="23" fillId="0" borderId="4" xfId="1" applyNumberFormat="1" applyFont="1" applyBorder="1" applyAlignment="1">
      <alignment vertical="center" wrapText="1"/>
    </xf>
    <xf numFmtId="173" fontId="23" fillId="0" borderId="4" xfId="1" applyNumberFormat="1" applyFont="1" applyBorder="1" applyAlignment="1">
      <alignment vertical="center"/>
    </xf>
    <xf numFmtId="173" fontId="23" fillId="0" borderId="0" xfId="1" applyNumberFormat="1" applyFont="1"/>
    <xf numFmtId="164" fontId="23" fillId="0" borderId="0" xfId="1" applyNumberFormat="1" applyFont="1" applyFill="1" applyBorder="1" applyAlignment="1">
      <alignment vertical="center" wrapText="1"/>
    </xf>
    <xf numFmtId="164" fontId="23" fillId="0" borderId="0" xfId="1" applyNumberFormat="1" applyFont="1" applyAlignment="1"/>
    <xf numFmtId="164" fontId="23" fillId="0" borderId="0" xfId="1" applyNumberFormat="1" applyFont="1" applyBorder="1" applyAlignment="1">
      <alignment vertical="center" wrapText="1"/>
    </xf>
    <xf numFmtId="164" fontId="23" fillId="0" borderId="4" xfId="1" applyNumberFormat="1" applyFont="1" applyBorder="1"/>
    <xf numFmtId="164" fontId="23" fillId="2" borderId="4" xfId="1" applyNumberFormat="1" applyFont="1" applyFill="1" applyBorder="1" applyAlignment="1">
      <alignment vertical="center" wrapText="1"/>
    </xf>
    <xf numFmtId="164" fontId="23" fillId="0" borderId="0" xfId="1" applyNumberFormat="1" applyFont="1" applyAlignment="1">
      <alignment horizontal="right"/>
    </xf>
    <xf numFmtId="164" fontId="23" fillId="0" borderId="0" xfId="1" applyNumberFormat="1" applyFont="1" applyAlignment="1">
      <alignment horizontal="left"/>
    </xf>
    <xf numFmtId="166" fontId="21" fillId="0" borderId="0" xfId="1" applyFont="1" applyFill="1" applyAlignment="1">
      <alignment horizontal="left"/>
    </xf>
    <xf numFmtId="0" fontId="8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right" vertical="center"/>
    </xf>
    <xf numFmtId="0" fontId="5" fillId="0" borderId="12" xfId="0" applyFont="1" applyBorder="1" applyAlignment="1">
      <alignment vertical="center"/>
    </xf>
    <xf numFmtId="3" fontId="5" fillId="0" borderId="25" xfId="0" applyNumberFormat="1" applyFont="1" applyBorder="1" applyAlignment="1">
      <alignment horizontal="right" vertical="center"/>
    </xf>
    <xf numFmtId="0" fontId="5" fillId="0" borderId="25" xfId="0" applyFont="1" applyBorder="1" applyAlignment="1">
      <alignment vertical="center"/>
    </xf>
    <xf numFmtId="3" fontId="5" fillId="0" borderId="14" xfId="0" applyNumberFormat="1" applyFont="1" applyBorder="1" applyAlignment="1">
      <alignment horizontal="right" vertical="center"/>
    </xf>
    <xf numFmtId="166" fontId="21" fillId="0" borderId="4" xfId="1" applyFont="1" applyFill="1" applyBorder="1" applyAlignment="1">
      <alignment wrapText="1"/>
    </xf>
    <xf numFmtId="166" fontId="21" fillId="0" borderId="7" xfId="1" applyFont="1" applyFill="1" applyBorder="1"/>
    <xf numFmtId="166" fontId="21" fillId="0" borderId="8" xfId="1" applyFont="1" applyFill="1" applyBorder="1"/>
    <xf numFmtId="166" fontId="21" fillId="0" borderId="9" xfId="1" applyFont="1" applyFill="1" applyBorder="1"/>
    <xf numFmtId="166" fontId="21" fillId="0" borderId="10" xfId="1" applyFont="1" applyFill="1" applyBorder="1"/>
    <xf numFmtId="166" fontId="21" fillId="0" borderId="11" xfId="1" applyFont="1" applyFill="1" applyBorder="1"/>
    <xf numFmtId="166" fontId="21" fillId="0" borderId="12" xfId="1" applyFont="1" applyFill="1" applyBorder="1"/>
    <xf numFmtId="166" fontId="21" fillId="0" borderId="13" xfId="1" applyFont="1" applyFill="1" applyBorder="1"/>
    <xf numFmtId="166" fontId="21" fillId="0" borderId="14" xfId="1" applyFont="1" applyFill="1" applyBorder="1"/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166" fontId="22" fillId="0" borderId="4" xfId="1" applyFont="1" applyFill="1" applyBorder="1"/>
    <xf numFmtId="166" fontId="22" fillId="2" borderId="4" xfId="1" applyFont="1" applyFill="1" applyBorder="1"/>
    <xf numFmtId="166" fontId="22" fillId="12" borderId="4" xfId="1" applyFont="1" applyFill="1" applyBorder="1"/>
    <xf numFmtId="166" fontId="22" fillId="13" borderId="4" xfId="1" applyFont="1" applyFill="1" applyBorder="1"/>
    <xf numFmtId="166" fontId="22" fillId="14" borderId="4" xfId="1" applyFont="1" applyFill="1" applyBorder="1"/>
    <xf numFmtId="166" fontId="15" fillId="0" borderId="4" xfId="1" applyFont="1" applyFill="1" applyBorder="1"/>
    <xf numFmtId="166" fontId="15" fillId="0" borderId="12" xfId="1" applyFont="1" applyFill="1" applyBorder="1"/>
    <xf numFmtId="166" fontId="15" fillId="0" borderId="13" xfId="1" applyFont="1" applyFill="1" applyBorder="1"/>
    <xf numFmtId="166" fontId="15" fillId="0" borderId="14" xfId="1" applyFont="1" applyFill="1" applyBorder="1"/>
    <xf numFmtId="166" fontId="15" fillId="0" borderId="0" xfId="1" applyFont="1" applyFill="1" applyBorder="1"/>
    <xf numFmtId="166" fontId="21" fillId="0" borderId="0" xfId="1" applyFont="1" applyFill="1" applyAlignment="1">
      <alignment horizontal="right"/>
    </xf>
    <xf numFmtId="173" fontId="21" fillId="0" borderId="0" xfId="1" applyNumberFormat="1" applyFont="1" applyFill="1"/>
    <xf numFmtId="164" fontId="21" fillId="0" borderId="4" xfId="1" applyNumberFormat="1" applyFont="1" applyFill="1" applyBorder="1"/>
    <xf numFmtId="166" fontId="21" fillId="15" borderId="4" xfId="1" applyFont="1" applyFill="1" applyBorder="1"/>
    <xf numFmtId="166" fontId="21" fillId="16" borderId="4" xfId="1" applyFont="1" applyFill="1" applyBorder="1"/>
    <xf numFmtId="0" fontId="8" fillId="0" borderId="23" xfId="0" applyFont="1" applyBorder="1" applyAlignment="1">
      <alignment vertical="center"/>
    </xf>
    <xf numFmtId="0" fontId="8" fillId="0" borderId="24" xfId="0" applyFont="1" applyBorder="1" applyAlignment="1">
      <alignment horizontal="center" vertical="center"/>
    </xf>
    <xf numFmtId="0" fontId="8" fillId="0" borderId="24" xfId="0" applyFont="1" applyBorder="1" applyAlignment="1">
      <alignment vertical="center"/>
    </xf>
    <xf numFmtId="3" fontId="5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6" fontId="5" fillId="0" borderId="14" xfId="0" applyNumberFormat="1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166" fontId="21" fillId="17" borderId="0" xfId="1" applyFont="1" applyFill="1"/>
    <xf numFmtId="166" fontId="21" fillId="10" borderId="0" xfId="1" applyFont="1" applyFill="1"/>
    <xf numFmtId="175" fontId="21" fillId="0" borderId="0" xfId="1" applyNumberFormat="1" applyFont="1" applyFill="1"/>
    <xf numFmtId="0" fontId="24" fillId="0" borderId="25" xfId="0" applyFont="1" applyBorder="1" applyAlignment="1">
      <alignment vertical="center"/>
    </xf>
    <xf numFmtId="3" fontId="24" fillId="0" borderId="14" xfId="0" applyNumberFormat="1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4" xfId="0" applyFont="1" applyBorder="1" applyAlignment="1">
      <alignment horizontal="right" vertical="center"/>
    </xf>
    <xf numFmtId="0" fontId="24" fillId="0" borderId="23" xfId="0" applyFont="1" applyBorder="1" applyAlignment="1">
      <alignment vertical="center" wrapText="1"/>
    </xf>
    <xf numFmtId="0" fontId="24" fillId="0" borderId="24" xfId="0" applyFont="1" applyBorder="1" applyAlignment="1">
      <alignment horizontal="center" vertical="center" wrapText="1"/>
    </xf>
    <xf numFmtId="166" fontId="21" fillId="10" borderId="4" xfId="1" applyFont="1" applyFill="1" applyBorder="1"/>
    <xf numFmtId="0" fontId="24" fillId="0" borderId="25" xfId="0" applyFont="1" applyBorder="1" applyAlignment="1">
      <alignment horizontal="justify" vertical="center" wrapText="1"/>
    </xf>
    <xf numFmtId="6" fontId="24" fillId="0" borderId="14" xfId="0" applyNumberFormat="1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166" fontId="21" fillId="9" borderId="4" xfId="1" applyFont="1" applyFill="1" applyBorder="1"/>
    <xf numFmtId="0" fontId="5" fillId="0" borderId="25" xfId="0" applyFont="1" applyBorder="1" applyAlignment="1">
      <alignment horizontal="justify" vertical="center" wrapText="1"/>
    </xf>
    <xf numFmtId="6" fontId="5" fillId="0" borderId="14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64" fontId="21" fillId="9" borderId="4" xfId="1" applyNumberFormat="1" applyFont="1" applyFill="1" applyBorder="1"/>
    <xf numFmtId="0" fontId="24" fillId="0" borderId="0" xfId="0" applyFont="1" applyAlignment="1">
      <alignment vertical="center"/>
    </xf>
    <xf numFmtId="3" fontId="24" fillId="0" borderId="0" xfId="0" applyNumberFormat="1" applyFont="1" applyAlignment="1">
      <alignment horizontal="right" vertical="center"/>
    </xf>
    <xf numFmtId="9" fontId="15" fillId="0" borderId="0" xfId="1" applyNumberFormat="1" applyFont="1" applyFill="1"/>
    <xf numFmtId="176" fontId="21" fillId="0" borderId="4" xfId="1" applyNumberFormat="1" applyFont="1" applyFill="1" applyBorder="1"/>
    <xf numFmtId="177" fontId="21" fillId="0" borderId="4" xfId="1" applyNumberFormat="1" applyFont="1" applyFill="1" applyBorder="1"/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166" fontId="21" fillId="0" borderId="26" xfId="1" applyFont="1" applyFill="1" applyBorder="1"/>
    <xf numFmtId="166" fontId="21" fillId="0" borderId="27" xfId="1" applyFont="1" applyFill="1" applyBorder="1"/>
    <xf numFmtId="0" fontId="3" fillId="0" borderId="14" xfId="0" applyFont="1" applyBorder="1" applyAlignment="1">
      <alignment vertical="center"/>
    </xf>
    <xf numFmtId="3" fontId="3" fillId="0" borderId="14" xfId="0" applyNumberFormat="1" applyFont="1" applyBorder="1" applyAlignment="1">
      <alignment horizontal="right" vertical="center"/>
    </xf>
    <xf numFmtId="3" fontId="3" fillId="0" borderId="14" xfId="0" applyNumberFormat="1" applyFont="1" applyBorder="1" applyAlignment="1">
      <alignment horizontal="center" vertical="center"/>
    </xf>
    <xf numFmtId="166" fontId="21" fillId="9" borderId="11" xfId="1" applyFont="1" applyFill="1" applyBorder="1"/>
    <xf numFmtId="166" fontId="21" fillId="10" borderId="11" xfId="1" applyFont="1" applyFill="1" applyBorder="1"/>
    <xf numFmtId="166" fontId="15" fillId="0" borderId="10" xfId="1" applyFont="1" applyFill="1" applyBorder="1"/>
    <xf numFmtId="166" fontId="21" fillId="12" borderId="27" xfId="1" applyFont="1" applyFill="1" applyBorder="1"/>
    <xf numFmtId="166" fontId="21" fillId="12" borderId="0" xfId="1" applyFont="1" applyFill="1"/>
    <xf numFmtId="177" fontId="21" fillId="0" borderId="0" xfId="1" applyNumberFormat="1" applyFont="1" applyFill="1"/>
    <xf numFmtId="0" fontId="3" fillId="0" borderId="0" xfId="0" applyFont="1" applyAlignment="1">
      <alignment horizontal="justify" vertical="center"/>
    </xf>
    <xf numFmtId="166" fontId="21" fillId="13" borderId="27" xfId="1" applyFont="1" applyFill="1" applyBorder="1"/>
    <xf numFmtId="0" fontId="9" fillId="0" borderId="25" xfId="0" applyFont="1" applyBorder="1"/>
    <xf numFmtId="166" fontId="21" fillId="14" borderId="27" xfId="1" applyFont="1" applyFill="1" applyBorder="1"/>
    <xf numFmtId="0" fontId="9" fillId="0" borderId="14" xfId="0" applyFont="1" applyBorder="1"/>
    <xf numFmtId="166" fontId="15" fillId="0" borderId="25" xfId="1" applyFont="1" applyFill="1" applyBorder="1"/>
    <xf numFmtId="166" fontId="21" fillId="0" borderId="0" xfId="1" applyFont="1"/>
    <xf numFmtId="166" fontId="21" fillId="0" borderId="4" xfId="1" applyFont="1" applyBorder="1"/>
    <xf numFmtId="166" fontId="21" fillId="0" borderId="0" xfId="1" applyFont="1" applyBorder="1"/>
    <xf numFmtId="166" fontId="21" fillId="0" borderId="16" xfId="1" applyFont="1" applyBorder="1"/>
    <xf numFmtId="166" fontId="21" fillId="18" borderId="4" xfId="1" applyFont="1" applyFill="1" applyBorder="1"/>
    <xf numFmtId="166" fontId="21" fillId="0" borderId="6" xfId="1" applyFont="1" applyBorder="1"/>
    <xf numFmtId="166" fontId="21" fillId="0" borderId="4" xfId="1" applyFont="1" applyBorder="1" applyAlignment="1">
      <alignment horizontal="center"/>
    </xf>
    <xf numFmtId="166" fontId="21" fillId="8" borderId="4" xfId="1" applyFont="1" applyFill="1" applyBorder="1"/>
    <xf numFmtId="166" fontId="25" fillId="0" borderId="0" xfId="1" applyFont="1"/>
    <xf numFmtId="166" fontId="21" fillId="0" borderId="13" xfId="1" applyFont="1" applyBorder="1"/>
    <xf numFmtId="166" fontId="21" fillId="8" borderId="0" xfId="1" applyFont="1" applyFill="1"/>
    <xf numFmtId="166" fontId="21" fillId="0" borderId="0" xfId="1" applyFont="1" applyAlignment="1">
      <alignment horizontal="center"/>
    </xf>
    <xf numFmtId="166" fontId="21" fillId="0" borderId="4" xfId="1" applyFont="1" applyBorder="1" applyAlignment="1">
      <alignment horizontal="center"/>
    </xf>
    <xf numFmtId="173" fontId="21" fillId="0" borderId="0" xfId="1" applyNumberFormat="1" applyFont="1"/>
    <xf numFmtId="173" fontId="21" fillId="0" borderId="4" xfId="1" applyNumberFormat="1" applyFont="1" applyBorder="1"/>
    <xf numFmtId="166" fontId="15" fillId="0" borderId="0" xfId="1" applyFont="1"/>
    <xf numFmtId="166" fontId="15" fillId="0" borderId="4" xfId="1" applyFont="1" applyBorder="1"/>
    <xf numFmtId="178" fontId="21" fillId="0" borderId="4" xfId="1" applyNumberFormat="1" applyFont="1" applyBorder="1"/>
    <xf numFmtId="174" fontId="21" fillId="0" borderId="0" xfId="1" applyNumberFormat="1" applyFont="1"/>
    <xf numFmtId="173" fontId="21" fillId="14" borderId="4" xfId="1" applyNumberFormat="1" applyFont="1" applyFill="1" applyBorder="1"/>
    <xf numFmtId="173" fontId="21" fillId="14" borderId="1" xfId="1" applyNumberFormat="1" applyFont="1" applyFill="1" applyBorder="1" applyAlignment="1">
      <alignment horizontal="center" wrapText="1"/>
    </xf>
    <xf numFmtId="173" fontId="21" fillId="2" borderId="1" xfId="1" applyNumberFormat="1" applyFont="1" applyFill="1" applyBorder="1"/>
    <xf numFmtId="0" fontId="23" fillId="0" borderId="23" xfId="0" applyFont="1" applyBorder="1" applyAlignment="1">
      <alignment horizontal="justify" vertical="center" wrapText="1"/>
    </xf>
    <xf numFmtId="0" fontId="23" fillId="0" borderId="24" xfId="0" applyFont="1" applyBorder="1" applyAlignment="1">
      <alignment horizontal="justify" vertical="center" wrapText="1"/>
    </xf>
    <xf numFmtId="173" fontId="21" fillId="0" borderId="1" xfId="1" applyNumberFormat="1" applyFont="1" applyFill="1" applyBorder="1"/>
    <xf numFmtId="0" fontId="23" fillId="0" borderId="25" xfId="0" applyFont="1" applyBorder="1" applyAlignment="1">
      <alignment horizontal="justify" vertical="center" wrapText="1"/>
    </xf>
    <xf numFmtId="3" fontId="23" fillId="0" borderId="14" xfId="0" applyNumberFormat="1" applyFont="1" applyBorder="1" applyAlignment="1">
      <alignment horizontal="justify" vertical="center" wrapText="1"/>
    </xf>
    <xf numFmtId="0" fontId="23" fillId="0" borderId="14" xfId="0" applyFont="1" applyBorder="1" applyAlignment="1">
      <alignment horizontal="justify" vertical="center" wrapText="1"/>
    </xf>
    <xf numFmtId="173" fontId="21" fillId="9" borderId="1" xfId="1" applyNumberFormat="1" applyFont="1" applyFill="1" applyBorder="1"/>
    <xf numFmtId="173" fontId="21" fillId="19" borderId="4" xfId="1" applyNumberFormat="1" applyFont="1" applyFill="1" applyBorder="1"/>
    <xf numFmtId="173" fontId="21" fillId="12" borderId="4" xfId="1" applyNumberFormat="1" applyFont="1" applyFill="1" applyBorder="1"/>
    <xf numFmtId="173" fontId="21" fillId="14" borderId="1" xfId="1" applyNumberFormat="1" applyFont="1" applyFill="1" applyBorder="1"/>
    <xf numFmtId="173" fontId="25" fillId="0" borderId="4" xfId="1" applyNumberFormat="1" applyFont="1" applyFill="1" applyBorder="1"/>
    <xf numFmtId="166" fontId="25" fillId="0" borderId="0" xfId="1" applyFont="1" applyFill="1" applyBorder="1"/>
    <xf numFmtId="166" fontId="25" fillId="0" borderId="11" xfId="1" applyFont="1" applyFill="1" applyBorder="1"/>
    <xf numFmtId="166" fontId="25" fillId="0" borderId="0" xfId="1" applyFont="1" applyFill="1"/>
    <xf numFmtId="175" fontId="25" fillId="0" borderId="4" xfId="1" applyNumberFormat="1" applyFont="1" applyFill="1" applyBorder="1"/>
    <xf numFmtId="175" fontId="25" fillId="0" borderId="0" xfId="1" applyNumberFormat="1" applyFont="1" applyFill="1" applyBorder="1"/>
    <xf numFmtId="175" fontId="25" fillId="0" borderId="11" xfId="1" applyNumberFormat="1" applyFont="1" applyFill="1" applyBorder="1"/>
    <xf numFmtId="175" fontId="25" fillId="0" borderId="0" xfId="1" applyNumberFormat="1" applyFont="1" applyFill="1"/>
    <xf numFmtId="177" fontId="25" fillId="0" borderId="4" xfId="1" applyNumberFormat="1" applyFont="1" applyFill="1" applyBorder="1"/>
    <xf numFmtId="177" fontId="25" fillId="0" borderId="0" xfId="1" applyNumberFormat="1" applyFont="1" applyFill="1" applyBorder="1"/>
    <xf numFmtId="177" fontId="25" fillId="0" borderId="11" xfId="1" applyNumberFormat="1" applyFont="1" applyFill="1" applyBorder="1"/>
    <xf numFmtId="177" fontId="25" fillId="0" borderId="0" xfId="1" applyNumberFormat="1" applyFont="1" applyFill="1"/>
    <xf numFmtId="173" fontId="21" fillId="0" borderId="0" xfId="1" applyNumberFormat="1" applyFont="1" applyFill="1" applyBorder="1"/>
    <xf numFmtId="166" fontId="21" fillId="0" borderId="3" xfId="1" applyFont="1" applyFill="1" applyBorder="1"/>
    <xf numFmtId="166" fontId="21" fillId="19" borderId="11" xfId="1" applyFont="1" applyFill="1" applyBorder="1"/>
    <xf numFmtId="166" fontId="21" fillId="12" borderId="0" xfId="1" applyFont="1" applyFill="1" applyBorder="1"/>
    <xf numFmtId="166" fontId="21" fillId="0" borderId="1" xfId="1" applyFont="1" applyFill="1" applyBorder="1"/>
    <xf numFmtId="166" fontId="21" fillId="12" borderId="4" xfId="1" applyFont="1" applyFill="1" applyBorder="1"/>
    <xf numFmtId="166" fontId="21" fillId="14" borderId="0" xfId="1" applyFont="1" applyFill="1" applyBorder="1"/>
    <xf numFmtId="166" fontId="21" fillId="0" borderId="0" xfId="1" applyFont="1" applyFill="1" applyBorder="1" applyAlignment="1">
      <alignment horizontal="left"/>
    </xf>
    <xf numFmtId="166" fontId="21" fillId="20" borderId="0" xfId="1" applyFont="1" applyFill="1" applyBorder="1"/>
    <xf numFmtId="164" fontId="21" fillId="20" borderId="0" xfId="1" applyNumberFormat="1" applyFont="1" applyFill="1" applyBorder="1"/>
    <xf numFmtId="166" fontId="21" fillId="20" borderId="4" xfId="1" applyFont="1" applyFill="1" applyBorder="1"/>
    <xf numFmtId="166" fontId="21" fillId="15" borderId="0" xfId="1" applyFont="1" applyFill="1" applyBorder="1"/>
    <xf numFmtId="174" fontId="21" fillId="15" borderId="0" xfId="1" applyNumberFormat="1" applyFont="1" applyFill="1" applyBorder="1"/>
    <xf numFmtId="179" fontId="21" fillId="15" borderId="4" xfId="1" applyNumberFormat="1" applyFont="1" applyFill="1" applyBorder="1"/>
    <xf numFmtId="180" fontId="21" fillId="0" borderId="4" xfId="1" applyNumberFormat="1" applyFont="1" applyFill="1" applyBorder="1"/>
    <xf numFmtId="166" fontId="3" fillId="2" borderId="0" xfId="1" applyFont="1" applyFill="1"/>
    <xf numFmtId="166" fontId="3" fillId="20" borderId="4" xfId="1" applyFont="1" applyFill="1" applyBorder="1"/>
    <xf numFmtId="166" fontId="3" fillId="20" borderId="0" xfId="1" applyFont="1" applyFill="1"/>
    <xf numFmtId="166" fontId="3" fillId="15" borderId="15" xfId="1" applyFont="1" applyFill="1" applyBorder="1"/>
    <xf numFmtId="166" fontId="3" fillId="15" borderId="4" xfId="1" applyFont="1" applyFill="1" applyBorder="1"/>
    <xf numFmtId="166" fontId="3" fillId="15" borderId="19" xfId="1" applyFont="1" applyFill="1" applyBorder="1"/>
    <xf numFmtId="166" fontId="3" fillId="15" borderId="20" xfId="1" applyFont="1" applyFill="1" applyBorder="1"/>
    <xf numFmtId="166" fontId="21" fillId="0" borderId="4" xfId="1" applyFont="1" applyBorder="1" applyAlignment="1"/>
    <xf numFmtId="178" fontId="21" fillId="0" borderId="0" xfId="1" applyNumberFormat="1" applyFont="1"/>
    <xf numFmtId="166" fontId="21" fillId="21" borderId="0" xfId="1" applyFont="1" applyFill="1"/>
    <xf numFmtId="166" fontId="21" fillId="0" borderId="0" xfId="1" applyFont="1" applyAlignment="1">
      <alignment horizontal="center"/>
    </xf>
    <xf numFmtId="0" fontId="21" fillId="0" borderId="4" xfId="0" applyFont="1" applyBorder="1" applyAlignment="1">
      <alignment vertical="center"/>
    </xf>
    <xf numFmtId="0" fontId="21" fillId="2" borderId="4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2" borderId="4" xfId="0" applyFont="1" applyFill="1" applyBorder="1" applyAlignment="1">
      <alignment vertical="center" wrapText="1"/>
    </xf>
    <xf numFmtId="173" fontId="21" fillId="0" borderId="0" xfId="1" applyNumberFormat="1" applyFont="1" applyFill="1" applyAlignment="1">
      <alignment vertical="center"/>
    </xf>
    <xf numFmtId="173" fontId="21" fillId="0" borderId="4" xfId="1" applyNumberFormat="1" applyFont="1" applyFill="1" applyBorder="1" applyAlignment="1">
      <alignment vertical="center"/>
    </xf>
    <xf numFmtId="173" fontId="21" fillId="0" borderId="4" xfId="1" applyNumberFormat="1" applyFont="1" applyFill="1" applyBorder="1" applyAlignment="1">
      <alignment horizontal="center" vertical="center"/>
    </xf>
    <xf numFmtId="0" fontId="21" fillId="10" borderId="4" xfId="0" applyFont="1" applyFill="1" applyBorder="1" applyAlignment="1">
      <alignment vertical="center"/>
    </xf>
    <xf numFmtId="173" fontId="21" fillId="10" borderId="4" xfId="1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73" fontId="21" fillId="0" borderId="4" xfId="1" applyNumberFormat="1" applyFont="1" applyFill="1" applyBorder="1" applyAlignment="1">
      <alignment horizontal="right" vertical="center"/>
    </xf>
    <xf numFmtId="3" fontId="21" fillId="0" borderId="0" xfId="0" applyNumberFormat="1" applyFont="1" applyAlignment="1">
      <alignment vertical="center"/>
    </xf>
    <xf numFmtId="181" fontId="21" fillId="0" borderId="0" xfId="0" applyNumberFormat="1" applyFont="1" applyAlignment="1">
      <alignment vertical="center"/>
    </xf>
    <xf numFmtId="173" fontId="21" fillId="2" borderId="4" xfId="1" applyNumberFormat="1" applyFont="1" applyFill="1" applyBorder="1" applyAlignment="1">
      <alignment vertical="center"/>
    </xf>
    <xf numFmtId="0" fontId="21" fillId="0" borderId="0" xfId="0" applyFont="1" applyAlignment="1">
      <alignment horizontal="right" vertical="center"/>
    </xf>
    <xf numFmtId="166" fontId="21" fillId="0" borderId="0" xfId="1" applyFont="1" applyFill="1" applyAlignment="1">
      <alignment vertical="center"/>
    </xf>
    <xf numFmtId="166" fontId="21" fillId="0" borderId="0" xfId="1" applyFont="1" applyFill="1" applyAlignment="1">
      <alignment vertical="center" wrapText="1"/>
    </xf>
    <xf numFmtId="166" fontId="21" fillId="0" borderId="0" xfId="1" applyFont="1" applyFill="1" applyBorder="1" applyAlignment="1">
      <alignment vertical="center"/>
    </xf>
    <xf numFmtId="2" fontId="21" fillId="0" borderId="0" xfId="0" applyNumberFormat="1" applyFont="1" applyAlignment="1">
      <alignment vertical="center"/>
    </xf>
    <xf numFmtId="173" fontId="21" fillId="0" borderId="0" xfId="1" applyNumberFormat="1" applyFont="1" applyFill="1" applyBorder="1" applyAlignment="1">
      <alignment vertical="center"/>
    </xf>
    <xf numFmtId="182" fontId="21" fillId="0" borderId="0" xfId="0" applyNumberFormat="1" applyFont="1" applyAlignment="1">
      <alignment vertical="center"/>
    </xf>
    <xf numFmtId="173" fontId="21" fillId="0" borderId="15" xfId="1" applyNumberFormat="1" applyFont="1" applyBorder="1" applyAlignment="1">
      <alignment horizontal="center"/>
    </xf>
    <xf numFmtId="173" fontId="21" fillId="0" borderId="15" xfId="1" applyNumberFormat="1" applyFont="1" applyBorder="1"/>
    <xf numFmtId="173" fontId="21" fillId="0" borderId="0" xfId="1" applyNumberFormat="1" applyFont="1" applyAlignment="1">
      <alignment horizontal="center"/>
    </xf>
    <xf numFmtId="173" fontId="21" fillId="2" borderId="0" xfId="1" applyNumberFormat="1" applyFont="1" applyFill="1"/>
    <xf numFmtId="173" fontId="21" fillId="0" borderId="15" xfId="1" applyNumberFormat="1" applyFont="1" applyBorder="1" applyAlignment="1"/>
    <xf numFmtId="164" fontId="21" fillId="0" borderId="0" xfId="1" applyNumberFormat="1" applyFont="1"/>
    <xf numFmtId="173" fontId="21" fillId="0" borderId="0" xfId="1" applyNumberFormat="1" applyFont="1" applyAlignment="1"/>
    <xf numFmtId="173" fontId="22" fillId="0" borderId="4" xfId="1" applyNumberFormat="1" applyFont="1" applyFill="1" applyBorder="1"/>
    <xf numFmtId="173" fontId="22" fillId="2" borderId="4" xfId="1" applyNumberFormat="1" applyFont="1" applyFill="1" applyBorder="1"/>
    <xf numFmtId="173" fontId="22" fillId="12" borderId="4" xfId="1" applyNumberFormat="1" applyFont="1" applyFill="1" applyBorder="1"/>
    <xf numFmtId="173" fontId="21" fillId="0" borderId="4" xfId="1" applyNumberFormat="1" applyFont="1" applyFill="1" applyBorder="1" applyAlignment="1">
      <alignment horizontal="center" vertical="center" wrapText="1"/>
    </xf>
    <xf numFmtId="173" fontId="21" fillId="2" borderId="4" xfId="1" applyNumberFormat="1" applyFont="1" applyFill="1" applyBorder="1" applyAlignment="1">
      <alignment horizontal="center" vertical="center"/>
    </xf>
    <xf numFmtId="173" fontId="21" fillId="0" borderId="0" xfId="1" applyNumberFormat="1" applyFont="1" applyFill="1" applyAlignment="1">
      <alignment horizontal="center" vertical="center"/>
    </xf>
    <xf numFmtId="173" fontId="21" fillId="12" borderId="4" xfId="1" applyNumberFormat="1" applyFont="1" applyFill="1" applyBorder="1" applyAlignment="1">
      <alignment vertical="center" wrapText="1"/>
    </xf>
    <xf numFmtId="173" fontId="21" fillId="12" borderId="4" xfId="1" applyNumberFormat="1" applyFont="1" applyFill="1" applyBorder="1" applyAlignment="1">
      <alignment vertical="center"/>
    </xf>
    <xf numFmtId="164" fontId="21" fillId="0" borderId="4" xfId="1" applyNumberFormat="1" applyFont="1" applyFill="1" applyBorder="1" applyAlignment="1">
      <alignment vertical="center" wrapText="1"/>
    </xf>
    <xf numFmtId="164" fontId="21" fillId="0" borderId="4" xfId="1" applyNumberFormat="1" applyFont="1" applyFill="1" applyBorder="1" applyAlignment="1">
      <alignment vertical="center"/>
    </xf>
    <xf numFmtId="180" fontId="21" fillId="2" borderId="4" xfId="1" applyNumberFormat="1" applyFont="1" applyFill="1" applyBorder="1" applyAlignment="1">
      <alignment vertical="center"/>
    </xf>
    <xf numFmtId="164" fontId="21" fillId="2" borderId="4" xfId="1" applyNumberFormat="1" applyFont="1" applyFill="1" applyBorder="1" applyAlignment="1">
      <alignment vertical="center"/>
    </xf>
    <xf numFmtId="164" fontId="21" fillId="0" borderId="0" xfId="1" applyNumberFormat="1" applyFont="1" applyFill="1" applyAlignment="1">
      <alignment vertical="center"/>
    </xf>
    <xf numFmtId="173" fontId="21" fillId="13" borderId="4" xfId="1" applyNumberFormat="1" applyFont="1" applyFill="1" applyBorder="1"/>
    <xf numFmtId="177" fontId="21" fillId="2" borderId="4" xfId="1" applyNumberFormat="1" applyFont="1" applyFill="1" applyBorder="1"/>
    <xf numFmtId="10" fontId="21" fillId="0" borderId="4" xfId="1" applyNumberFormat="1" applyFont="1" applyFill="1" applyBorder="1"/>
    <xf numFmtId="10" fontId="21" fillId="22" borderId="4" xfId="1" applyNumberFormat="1" applyFont="1" applyFill="1" applyBorder="1"/>
    <xf numFmtId="183" fontId="21" fillId="0" borderId="0" xfId="5" applyNumberFormat="1" applyFont="1" applyFill="1"/>
    <xf numFmtId="173" fontId="21" fillId="23" borderId="4" xfId="1" applyNumberFormat="1" applyFont="1" applyFill="1" applyBorder="1"/>
    <xf numFmtId="10" fontId="21" fillId="0" borderId="0" xfId="1" applyNumberFormat="1" applyFont="1" applyFill="1"/>
    <xf numFmtId="184" fontId="21" fillId="0" borderId="0" xfId="5" applyNumberFormat="1" applyFont="1" applyFill="1"/>
    <xf numFmtId="173" fontId="21" fillId="0" borderId="15" xfId="1" applyNumberFormat="1" applyFont="1" applyFill="1" applyBorder="1" applyAlignment="1">
      <alignment horizontal="center"/>
    </xf>
    <xf numFmtId="173" fontId="21" fillId="23" borderId="15" xfId="1" applyNumberFormat="1" applyFont="1" applyFill="1" applyBorder="1" applyAlignment="1">
      <alignment horizontal="center"/>
    </xf>
    <xf numFmtId="173" fontId="21" fillId="0" borderId="0" xfId="1" applyNumberFormat="1" applyFont="1" applyFill="1" applyAlignment="1">
      <alignment horizontal="center"/>
    </xf>
    <xf numFmtId="10" fontId="21" fillId="22" borderId="0" xfId="1" applyNumberFormat="1" applyFont="1" applyFill="1" applyAlignment="1">
      <alignment horizontal="center"/>
    </xf>
    <xf numFmtId="173" fontId="21" fillId="0" borderId="0" xfId="1" applyNumberFormat="1" applyFont="1" applyFill="1" applyAlignment="1">
      <alignment horizontal="center" wrapText="1"/>
    </xf>
    <xf numFmtId="10" fontId="21" fillId="0" borderId="0" xfId="5" applyNumberFormat="1" applyFont="1" applyFill="1"/>
    <xf numFmtId="173" fontId="21" fillId="0" borderId="0" xfId="1" applyNumberFormat="1" applyFont="1" applyFill="1" applyAlignment="1">
      <alignment horizontal="right"/>
    </xf>
    <xf numFmtId="173" fontId="22" fillId="0" borderId="0" xfId="1" applyNumberFormat="1" applyFont="1" applyFill="1"/>
    <xf numFmtId="180" fontId="21" fillId="0" borderId="0" xfId="1" applyNumberFormat="1" applyFont="1" applyFill="1"/>
    <xf numFmtId="179" fontId="21" fillId="0" borderId="0" xfId="1" applyNumberFormat="1" applyFont="1" applyFill="1"/>
    <xf numFmtId="179" fontId="21" fillId="0" borderId="4" xfId="1" applyNumberFormat="1" applyFont="1" applyFill="1" applyBorder="1"/>
    <xf numFmtId="173" fontId="21" fillId="7" borderId="4" xfId="1" applyNumberFormat="1" applyFont="1" applyFill="1" applyBorder="1"/>
    <xf numFmtId="174" fontId="21" fillId="7" borderId="4" xfId="1" applyNumberFormat="1" applyFont="1" applyFill="1" applyBorder="1"/>
    <xf numFmtId="178" fontId="21" fillId="7" borderId="4" xfId="1" applyNumberFormat="1" applyFont="1" applyFill="1" applyBorder="1"/>
    <xf numFmtId="164" fontId="21" fillId="7" borderId="4" xfId="1" applyNumberFormat="1" applyFont="1" applyFill="1" applyBorder="1"/>
    <xf numFmtId="173" fontId="21" fillId="11" borderId="0" xfId="1" applyNumberFormat="1" applyFont="1" applyFill="1"/>
    <xf numFmtId="3" fontId="5" fillId="0" borderId="0" xfId="0" applyNumberFormat="1" applyFont="1"/>
    <xf numFmtId="3" fontId="10" fillId="0" borderId="0" xfId="0" applyNumberFormat="1" applyFont="1"/>
    <xf numFmtId="3" fontId="11" fillId="0" borderId="0" xfId="0" applyNumberFormat="1" applyFont="1"/>
    <xf numFmtId="3" fontId="5" fillId="0" borderId="0" xfId="0" applyNumberFormat="1" applyFont="1" applyAlignment="1">
      <alignment horizontal="right"/>
    </xf>
    <xf numFmtId="3" fontId="12" fillId="0" borderId="0" xfId="0" applyNumberFormat="1" applyFont="1"/>
    <xf numFmtId="3" fontId="13" fillId="0" borderId="0" xfId="0" applyNumberFormat="1" applyFont="1"/>
    <xf numFmtId="10" fontId="5" fillId="0" borderId="0" xfId="5" applyNumberFormat="1" applyFont="1"/>
    <xf numFmtId="185" fontId="5" fillId="0" borderId="0" xfId="0" applyNumberFormat="1" applyFont="1"/>
    <xf numFmtId="3" fontId="14" fillId="0" borderId="0" xfId="0" applyNumberFormat="1" applyFont="1"/>
    <xf numFmtId="49" fontId="5" fillId="0" borderId="0" xfId="0" applyNumberFormat="1" applyFont="1"/>
    <xf numFmtId="4" fontId="5" fillId="0" borderId="0" xfId="0" applyNumberFormat="1" applyFont="1"/>
    <xf numFmtId="3" fontId="10" fillId="0" borderId="1" xfId="0" applyNumberFormat="1" applyFont="1" applyBorder="1"/>
    <xf numFmtId="3" fontId="10" fillId="0" borderId="2" xfId="0" applyNumberFormat="1" applyFont="1" applyBorder="1"/>
    <xf numFmtId="3" fontId="5" fillId="0" borderId="2" xfId="0" applyNumberFormat="1" applyFont="1" applyBorder="1"/>
    <xf numFmtId="3" fontId="5" fillId="0" borderId="3" xfId="0" applyNumberFormat="1" applyFont="1" applyBorder="1"/>
    <xf numFmtId="3" fontId="8" fillId="0" borderId="0" xfId="0" applyNumberFormat="1" applyFont="1"/>
    <xf numFmtId="3" fontId="13" fillId="0" borderId="15" xfId="0" applyNumberFormat="1" applyFont="1" applyBorder="1"/>
    <xf numFmtId="3" fontId="24" fillId="0" borderId="0" xfId="0" applyNumberFormat="1" applyFont="1"/>
    <xf numFmtId="0" fontId="21" fillId="0" borderId="15" xfId="0" applyFont="1" applyBorder="1"/>
    <xf numFmtId="186" fontId="21" fillId="0" borderId="0" xfId="0" applyNumberFormat="1" applyFont="1"/>
    <xf numFmtId="186" fontId="21" fillId="2" borderId="0" xfId="0" applyNumberFormat="1" applyFont="1" applyFill="1"/>
    <xf numFmtId="0" fontId="21" fillId="2" borderId="0" xfId="0" applyFont="1" applyFill="1"/>
    <xf numFmtId="186" fontId="21" fillId="0" borderId="0" xfId="1" applyNumberFormat="1" applyFont="1"/>
    <xf numFmtId="44" fontId="21" fillId="0" borderId="0" xfId="1" applyNumberFormat="1" applyFont="1"/>
    <xf numFmtId="44" fontId="21" fillId="2" borderId="0" xfId="1" applyNumberFormat="1" applyFont="1" applyFill="1"/>
    <xf numFmtId="166" fontId="21" fillId="0" borderId="15" xfId="1" applyFont="1" applyBorder="1" applyAlignment="1">
      <alignment horizontal="center"/>
    </xf>
    <xf numFmtId="166" fontId="21" fillId="0" borderId="15" xfId="1" applyFont="1" applyBorder="1"/>
    <xf numFmtId="10" fontId="21" fillId="0" borderId="0" xfId="1" applyNumberFormat="1" applyFont="1"/>
    <xf numFmtId="166" fontId="21" fillId="0" borderId="0" xfId="1" applyFont="1" applyAlignment="1">
      <alignment horizontal="right"/>
    </xf>
    <xf numFmtId="10" fontId="21" fillId="0" borderId="15" xfId="1" applyNumberFormat="1" applyFont="1" applyBorder="1"/>
    <xf numFmtId="8" fontId="21" fillId="0" borderId="0" xfId="0" applyNumberFormat="1" applyFont="1"/>
    <xf numFmtId="4" fontId="21" fillId="0" borderId="0" xfId="0" applyNumberFormat="1" applyFont="1"/>
    <xf numFmtId="9" fontId="21" fillId="0" borderId="0" xfId="5" applyFont="1" applyFill="1"/>
    <xf numFmtId="2" fontId="21" fillId="0" borderId="0" xfId="0" quotePrefix="1" applyNumberFormat="1" applyFont="1"/>
    <xf numFmtId="2" fontId="21" fillId="0" borderId="0" xfId="0" applyNumberFormat="1" applyFont="1"/>
    <xf numFmtId="0" fontId="22" fillId="0" borderId="0" xfId="0" applyFont="1"/>
    <xf numFmtId="4" fontId="22" fillId="0" borderId="0" xfId="0" applyNumberFormat="1" applyFont="1"/>
    <xf numFmtId="10" fontId="21" fillId="0" borderId="0" xfId="0" applyNumberFormat="1" applyFont="1"/>
    <xf numFmtId="0" fontId="21" fillId="0" borderId="15" xfId="0" applyFont="1" applyBorder="1" applyAlignment="1">
      <alignment horizontal="center"/>
    </xf>
    <xf numFmtId="4" fontId="21" fillId="0" borderId="15" xfId="0" applyNumberFormat="1" applyFont="1" applyBorder="1" applyAlignment="1">
      <alignment horizontal="center"/>
    </xf>
    <xf numFmtId="4" fontId="21" fillId="0" borderId="15" xfId="0" applyNumberFormat="1" applyFont="1" applyBorder="1"/>
    <xf numFmtId="187" fontId="21" fillId="0" borderId="0" xfId="5" applyNumberFormat="1" applyFont="1" applyFill="1"/>
    <xf numFmtId="166" fontId="21" fillId="0" borderId="15" xfId="1" applyFont="1" applyFill="1" applyBorder="1"/>
    <xf numFmtId="8" fontId="21" fillId="0" borderId="15" xfId="0" applyNumberFormat="1" applyFont="1" applyBorder="1"/>
    <xf numFmtId="188" fontId="21" fillId="0" borderId="0" xfId="5" applyNumberFormat="1" applyFont="1" applyFill="1"/>
    <xf numFmtId="0" fontId="21" fillId="0" borderId="0" xfId="0" applyFont="1" applyAlignment="1">
      <alignment horizontal="right"/>
    </xf>
    <xf numFmtId="164" fontId="21" fillId="2" borderId="0" xfId="1" applyNumberFormat="1" applyFont="1" applyFill="1"/>
    <xf numFmtId="164" fontId="21" fillId="0" borderId="15" xfId="1" applyNumberFormat="1" applyFont="1" applyBorder="1"/>
    <xf numFmtId="164" fontId="21" fillId="0" borderId="0" xfId="1" applyNumberFormat="1" applyFont="1" applyAlignment="1">
      <alignment horizontal="center"/>
    </xf>
    <xf numFmtId="166" fontId="5" fillId="5" borderId="0" xfId="1" applyFont="1" applyFill="1" applyBorder="1" applyAlignment="1">
      <alignment horizontal="center"/>
    </xf>
    <xf numFmtId="166" fontId="7" fillId="5" borderId="0" xfId="1" applyFont="1" applyFill="1" applyBorder="1" applyAlignment="1">
      <alignment horizontal="center"/>
    </xf>
    <xf numFmtId="166" fontId="5" fillId="0" borderId="0" xfId="1" applyFont="1" applyAlignment="1">
      <alignment horizontal="center"/>
    </xf>
    <xf numFmtId="166" fontId="0" fillId="0" borderId="0" xfId="1" applyFont="1" applyAlignment="1">
      <alignment horizontal="center"/>
    </xf>
    <xf numFmtId="172" fontId="3" fillId="0" borderId="21" xfId="4" applyNumberFormat="1" applyFont="1" applyFill="1" applyBorder="1" applyAlignment="1">
      <alignment horizontal="center" vertical="center"/>
    </xf>
    <xf numFmtId="166" fontId="21" fillId="0" borderId="0" xfId="1" applyFont="1" applyFill="1" applyAlignment="1">
      <alignment horizontal="center"/>
    </xf>
    <xf numFmtId="0" fontId="21" fillId="0" borderId="4" xfId="0" applyFont="1" applyBorder="1" applyAlignment="1">
      <alignment vertical="center" wrapText="1"/>
    </xf>
    <xf numFmtId="3" fontId="21" fillId="0" borderId="4" xfId="0" applyNumberFormat="1" applyFont="1" applyBorder="1" applyAlignment="1">
      <alignment horizontal="right" vertical="center" wrapText="1"/>
    </xf>
    <xf numFmtId="0" fontId="21" fillId="0" borderId="0" xfId="0" applyFont="1" applyAlignment="1">
      <alignment horizontal="left" vertical="top" wrapText="1"/>
    </xf>
    <xf numFmtId="0" fontId="21" fillId="0" borderId="4" xfId="0" applyFont="1" applyBorder="1" applyAlignment="1">
      <alignment horizontal="right" vertical="center" wrapText="1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/>
    </xf>
    <xf numFmtId="166" fontId="21" fillId="0" borderId="0" xfId="1" applyFont="1" applyFill="1" applyAlignment="1">
      <alignment horizontal="left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164" fontId="23" fillId="0" borderId="21" xfId="1" applyNumberFormat="1" applyFont="1" applyBorder="1" applyAlignment="1">
      <alignment horizontal="left" vertical="center" wrapText="1"/>
    </xf>
    <xf numFmtId="164" fontId="23" fillId="0" borderId="0" xfId="1" applyNumberFormat="1" applyFont="1" applyBorder="1" applyAlignment="1">
      <alignment horizontal="left" vertical="center" wrapText="1"/>
    </xf>
    <xf numFmtId="164" fontId="23" fillId="0" borderId="1" xfId="1" applyNumberFormat="1" applyFont="1" applyBorder="1" applyAlignment="1">
      <alignment horizontal="center" vertical="center" wrapText="1"/>
    </xf>
    <xf numFmtId="164" fontId="23" fillId="0" borderId="2" xfId="1" applyNumberFormat="1" applyFont="1" applyBorder="1" applyAlignment="1">
      <alignment horizontal="center" vertical="center" wrapText="1"/>
    </xf>
    <xf numFmtId="164" fontId="23" fillId="0" borderId="3" xfId="1" applyNumberFormat="1" applyFont="1" applyBorder="1" applyAlignment="1">
      <alignment horizontal="center" vertical="center" wrapText="1"/>
    </xf>
    <xf numFmtId="166" fontId="21" fillId="0" borderId="4" xfId="1" applyFont="1" applyBorder="1" applyAlignment="1">
      <alignment horizontal="center"/>
    </xf>
    <xf numFmtId="166" fontId="21" fillId="0" borderId="1" xfId="1" applyFont="1" applyBorder="1" applyAlignment="1">
      <alignment horizontal="center"/>
    </xf>
    <xf numFmtId="166" fontId="21" fillId="0" borderId="3" xfId="1" applyFont="1" applyBorder="1" applyAlignment="1">
      <alignment horizontal="center"/>
    </xf>
    <xf numFmtId="166" fontId="21" fillId="0" borderId="0" xfId="1" applyFont="1" applyAlignment="1">
      <alignment horizont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66" fontId="21" fillId="0" borderId="4" xfId="1" applyFont="1" applyFill="1" applyBorder="1" applyAlignment="1">
      <alignment horizontal="center"/>
    </xf>
    <xf numFmtId="166" fontId="21" fillId="0" borderId="1" xfId="1" applyFont="1" applyFill="1" applyBorder="1" applyAlignment="1">
      <alignment horizontal="center"/>
    </xf>
    <xf numFmtId="166" fontId="21" fillId="0" borderId="2" xfId="1" applyFont="1" applyFill="1" applyBorder="1" applyAlignment="1">
      <alignment horizontal="center"/>
    </xf>
    <xf numFmtId="166" fontId="21" fillId="0" borderId="3" xfId="1" applyFont="1" applyFill="1" applyBorder="1" applyAlignment="1">
      <alignment horizontal="center"/>
    </xf>
    <xf numFmtId="166" fontId="21" fillId="0" borderId="7" xfId="1" applyFont="1" applyFill="1" applyBorder="1" applyAlignment="1">
      <alignment horizontal="center"/>
    </xf>
    <xf numFmtId="166" fontId="21" fillId="0" borderId="8" xfId="1" applyFont="1" applyFill="1" applyBorder="1" applyAlignment="1">
      <alignment horizontal="center"/>
    </xf>
    <xf numFmtId="166" fontId="21" fillId="0" borderId="9" xfId="1" applyFont="1" applyFill="1" applyBorder="1" applyAlignment="1">
      <alignment horizontal="center"/>
    </xf>
    <xf numFmtId="166" fontId="22" fillId="0" borderId="0" xfId="1" applyFont="1" applyAlignment="1">
      <alignment horizontal="left"/>
    </xf>
    <xf numFmtId="166" fontId="21" fillId="0" borderId="0" xfId="1" applyFont="1" applyFill="1" applyBorder="1" applyAlignment="1">
      <alignment horizontal="right"/>
    </xf>
    <xf numFmtId="166" fontId="21" fillId="0" borderId="0" xfId="1" applyFont="1" applyFill="1" applyBorder="1" applyAlignment="1">
      <alignment horizontal="left"/>
    </xf>
    <xf numFmtId="166" fontId="21" fillId="0" borderId="0" xfId="1" applyFont="1" applyFill="1" applyAlignment="1">
      <alignment vertical="center"/>
    </xf>
    <xf numFmtId="0" fontId="21" fillId="0" borderId="0" xfId="0" applyFont="1" applyAlignment="1">
      <alignment vertical="center"/>
    </xf>
    <xf numFmtId="173" fontId="21" fillId="0" borderId="0" xfId="1" applyNumberFormat="1" applyFont="1" applyAlignment="1">
      <alignment horizontal="center" wrapText="1"/>
    </xf>
    <xf numFmtId="173" fontId="21" fillId="0" borderId="4" xfId="1" applyNumberFormat="1" applyFont="1" applyFill="1" applyBorder="1" applyAlignment="1">
      <alignment horizontal="center"/>
    </xf>
    <xf numFmtId="173" fontId="21" fillId="0" borderId="0" xfId="1" applyNumberFormat="1" applyFont="1" applyFill="1" applyAlignment="1">
      <alignment horizontal="center"/>
    </xf>
    <xf numFmtId="173" fontId="21" fillId="0" borderId="4" xfId="1" applyNumberFormat="1" applyFont="1" applyFill="1" applyBorder="1" applyAlignment="1">
      <alignment horizontal="left" vertical="center"/>
    </xf>
    <xf numFmtId="173" fontId="21" fillId="0" borderId="6" xfId="1" applyNumberFormat="1" applyFont="1" applyFill="1" applyBorder="1" applyAlignment="1">
      <alignment horizontal="center" vertical="center"/>
    </xf>
    <xf numFmtId="173" fontId="21" fillId="0" borderId="16" xfId="1" applyNumberFormat="1" applyFont="1" applyFill="1" applyBorder="1" applyAlignment="1">
      <alignment horizontal="center" vertical="center"/>
    </xf>
    <xf numFmtId="10" fontId="21" fillId="0" borderId="4" xfId="1" applyNumberFormat="1" applyFont="1" applyFill="1" applyBorder="1" applyAlignment="1">
      <alignment horizontal="center" vertical="center"/>
    </xf>
    <xf numFmtId="179" fontId="21" fillId="0" borderId="4" xfId="1" applyNumberFormat="1" applyFont="1" applyFill="1" applyBorder="1" applyAlignment="1">
      <alignment horizontal="center" vertical="center"/>
    </xf>
    <xf numFmtId="173" fontId="21" fillId="0" borderId="4" xfId="1" applyNumberFormat="1" applyFont="1" applyFill="1" applyBorder="1" applyAlignment="1">
      <alignment horizontal="center" vertical="center"/>
    </xf>
    <xf numFmtId="173" fontId="21" fillId="2" borderId="4" xfId="1" applyNumberFormat="1" applyFont="1" applyFill="1" applyBorder="1" applyAlignment="1">
      <alignment horizontal="center" vertical="center"/>
    </xf>
    <xf numFmtId="164" fontId="21" fillId="0" borderId="4" xfId="1" applyNumberFormat="1" applyFont="1" applyFill="1" applyBorder="1" applyAlignment="1">
      <alignment horizontal="center" vertical="center"/>
    </xf>
    <xf numFmtId="173" fontId="21" fillId="0" borderId="1" xfId="1" applyNumberFormat="1" applyFont="1" applyFill="1" applyBorder="1" applyAlignment="1">
      <alignment horizontal="center"/>
    </xf>
    <xf numFmtId="173" fontId="21" fillId="0" borderId="3" xfId="1" applyNumberFormat="1" applyFont="1" applyFill="1" applyBorder="1" applyAlignment="1">
      <alignment horizontal="center"/>
    </xf>
    <xf numFmtId="173" fontId="21" fillId="0" borderId="0" xfId="1" applyNumberFormat="1" applyFont="1" applyAlignment="1">
      <alignment horizontal="center" vertical="center"/>
    </xf>
    <xf numFmtId="164" fontId="21" fillId="0" borderId="0" xfId="1" applyNumberFormat="1" applyFont="1" applyAlignment="1">
      <alignment horizontal="center" wrapText="1"/>
    </xf>
  </cellXfs>
  <cellStyles count="6">
    <cellStyle name="Millares" xfId="1" builtinId="3"/>
    <cellStyle name="Millares [0]" xfId="2" builtinId="6"/>
    <cellStyle name="Millares [0] 2" xfId="3" xr:uid="{00000000-0005-0000-0000-000002000000}"/>
    <cellStyle name="Millares 2" xfId="4" xr:uid="{00000000-0005-0000-0000-000003000000}"/>
    <cellStyle name="Normal" xfId="0" builtinId="0"/>
    <cellStyle name="Porcentaj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868045</xdr:colOff>
      <xdr:row>10</xdr:row>
      <xdr:rowOff>0</xdr:rowOff>
    </xdr:from>
    <xdr:to>
      <xdr:col>7</xdr:col>
      <xdr:colOff>562666</xdr:colOff>
      <xdr:row>19</xdr:row>
      <xdr:rowOff>7620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id="{E492D441-F07B-C74C-A4DA-5CEBE3CC89AF}"/>
            </a:ext>
          </a:extLst>
        </xdr:cNvPr>
        <xdr:cNvCxnSpPr/>
      </xdr:nvCxnSpPr>
      <xdr:spPr>
        <a:xfrm flipV="1">
          <a:off x="6149340" y="1752600"/>
          <a:ext cx="3642360" cy="158496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1229591</xdr:colOff>
      <xdr:row>24</xdr:row>
      <xdr:rowOff>76200</xdr:rowOff>
    </xdr:from>
    <xdr:to>
      <xdr:col>5</xdr:col>
      <xdr:colOff>170233</xdr:colOff>
      <xdr:row>35</xdr:row>
      <xdr:rowOff>91975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697825BA-1E28-4D43-AF7E-129B54CCD73C}"/>
            </a:ext>
          </a:extLst>
        </xdr:cNvPr>
        <xdr:cNvCxnSpPr/>
      </xdr:nvCxnSpPr>
      <xdr:spPr>
        <a:xfrm flipH="1">
          <a:off x="5223164" y="4232564"/>
          <a:ext cx="1517072" cy="193270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1229591</xdr:colOff>
      <xdr:row>60</xdr:row>
      <xdr:rowOff>76200</xdr:rowOff>
    </xdr:from>
    <xdr:to>
      <xdr:col>5</xdr:col>
      <xdr:colOff>170233</xdr:colOff>
      <xdr:row>73</xdr:row>
      <xdr:rowOff>99597</xdr:rowOff>
    </xdr:to>
    <xdr:cxnSp macro="">
      <xdr:nvCxnSpPr>
        <xdr:cNvPr id="6" name="Conector recto de flecha 5">
          <a:extLst>
            <a:ext uri="{FF2B5EF4-FFF2-40B4-BE49-F238E27FC236}">
              <a16:creationId xmlns:a16="http://schemas.microsoft.com/office/drawing/2014/main" id="{F7501A17-249B-5E4F-946C-512024940BB9}"/>
            </a:ext>
          </a:extLst>
        </xdr:cNvPr>
        <xdr:cNvCxnSpPr/>
      </xdr:nvCxnSpPr>
      <xdr:spPr>
        <a:xfrm flipH="1">
          <a:off x="5223164" y="4232564"/>
          <a:ext cx="1517072" cy="193270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426720</xdr:colOff>
      <xdr:row>12</xdr:row>
      <xdr:rowOff>129309</xdr:rowOff>
    </xdr:from>
    <xdr:to>
      <xdr:col>3</xdr:col>
      <xdr:colOff>1002880</xdr:colOff>
      <xdr:row>18</xdr:row>
      <xdr:rowOff>177216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D28C9A67-0157-6A40-8B39-785194EC8410}"/>
            </a:ext>
          </a:extLst>
        </xdr:cNvPr>
        <xdr:cNvCxnSpPr/>
      </xdr:nvCxnSpPr>
      <xdr:spPr>
        <a:xfrm flipH="1">
          <a:off x="5853545" y="2467264"/>
          <a:ext cx="496854" cy="118687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zoomScale="140" zoomScaleNormal="140" workbookViewId="0">
      <selection activeCell="I36" sqref="I36"/>
    </sheetView>
  </sheetViews>
  <sheetFormatPr baseColWidth="10" defaultColWidth="11.5" defaultRowHeight="13" x14ac:dyDescent="0.15"/>
  <cols>
    <col min="1" max="1" width="23.33203125" style="35" bestFit="1" customWidth="1"/>
    <col min="2" max="2" width="19.6640625" style="35" bestFit="1" customWidth="1"/>
    <col min="3" max="3" width="13.83203125" style="35" bestFit="1" customWidth="1"/>
    <col min="4" max="4" width="13.1640625" style="35" bestFit="1" customWidth="1"/>
    <col min="5" max="6" width="11.5" style="35"/>
    <col min="7" max="7" width="25.5" style="35" bestFit="1" customWidth="1"/>
    <col min="8" max="9" width="13.1640625" style="35" bestFit="1" customWidth="1"/>
    <col min="10" max="16384" width="11.5" style="35"/>
  </cols>
  <sheetData>
    <row r="1" spans="1:9" x14ac:dyDescent="0.15">
      <c r="A1" s="35" t="s">
        <v>91</v>
      </c>
      <c r="B1" s="35" t="s">
        <v>89</v>
      </c>
    </row>
    <row r="2" spans="1:9" x14ac:dyDescent="0.15">
      <c r="B2" s="35" t="s">
        <v>90</v>
      </c>
    </row>
    <row r="4" spans="1:9" x14ac:dyDescent="0.15">
      <c r="B4" s="39" t="s">
        <v>101</v>
      </c>
      <c r="C4" s="35" t="s">
        <v>88</v>
      </c>
      <c r="D4" s="39" t="s">
        <v>100</v>
      </c>
      <c r="G4" s="36"/>
      <c r="H4" s="36" t="s">
        <v>94</v>
      </c>
      <c r="I4" s="36" t="s">
        <v>95</v>
      </c>
    </row>
    <row r="5" spans="1:9" x14ac:dyDescent="0.15">
      <c r="G5" s="36" t="s">
        <v>92</v>
      </c>
      <c r="H5" s="36">
        <v>2000</v>
      </c>
      <c r="I5" s="36"/>
    </row>
    <row r="6" spans="1:9" x14ac:dyDescent="0.15">
      <c r="B6" s="35">
        <v>2000</v>
      </c>
      <c r="C6" s="35">
        <v>2000</v>
      </c>
      <c r="D6" s="35">
        <v>2000</v>
      </c>
      <c r="G6" s="36" t="s">
        <v>93</v>
      </c>
      <c r="H6" s="36"/>
      <c r="I6" s="36">
        <v>2000</v>
      </c>
    </row>
    <row r="7" spans="1:9" x14ac:dyDescent="0.15">
      <c r="B7" s="447" t="s">
        <v>106</v>
      </c>
      <c r="C7" s="448"/>
      <c r="D7" s="448"/>
      <c r="G7" s="38"/>
      <c r="H7" s="38"/>
      <c r="I7" s="38"/>
    </row>
    <row r="8" spans="1:9" x14ac:dyDescent="0.15">
      <c r="A8" s="57" t="s">
        <v>107</v>
      </c>
      <c r="B8" s="41">
        <f>2000/3</f>
        <v>666.66666666666663</v>
      </c>
      <c r="C8" s="41">
        <f>2000/4</f>
        <v>500</v>
      </c>
      <c r="D8" s="41">
        <f>2000/5</f>
        <v>400</v>
      </c>
      <c r="G8" s="36" t="s">
        <v>92</v>
      </c>
      <c r="H8" s="36">
        <v>2000</v>
      </c>
      <c r="I8" s="36"/>
    </row>
    <row r="9" spans="1:9" x14ac:dyDescent="0.15">
      <c r="G9" s="37" t="s">
        <v>96</v>
      </c>
      <c r="H9" s="36"/>
      <c r="I9" s="36">
        <v>2000</v>
      </c>
    </row>
    <row r="10" spans="1:9" x14ac:dyDescent="0.15">
      <c r="G10" s="38"/>
      <c r="H10" s="38"/>
      <c r="I10" s="38"/>
    </row>
    <row r="11" spans="1:9" x14ac:dyDescent="0.15">
      <c r="B11" s="39" t="s">
        <v>98</v>
      </c>
      <c r="G11" s="37" t="s">
        <v>96</v>
      </c>
      <c r="H11" s="36">
        <v>2000</v>
      </c>
      <c r="I11" s="36"/>
    </row>
    <row r="12" spans="1:9" x14ac:dyDescent="0.15">
      <c r="B12" s="40" t="s">
        <v>99</v>
      </c>
      <c r="G12" s="37" t="s">
        <v>97</v>
      </c>
      <c r="H12" s="36"/>
      <c r="I12" s="36">
        <v>2000</v>
      </c>
    </row>
    <row r="13" spans="1:9" x14ac:dyDescent="0.15">
      <c r="G13" s="36"/>
      <c r="H13" s="36"/>
      <c r="I13" s="36"/>
    </row>
    <row r="14" spans="1:9" ht="14" thickBot="1" x14ac:dyDescent="0.2">
      <c r="G14" s="36"/>
      <c r="H14" s="36"/>
      <c r="I14" s="36"/>
    </row>
    <row r="15" spans="1:9" x14ac:dyDescent="0.15">
      <c r="A15" s="42"/>
      <c r="B15" s="43"/>
      <c r="C15" s="43"/>
      <c r="D15" s="43"/>
      <c r="E15" s="44"/>
    </row>
    <row r="16" spans="1:9" x14ac:dyDescent="0.15">
      <c r="A16" s="45"/>
      <c r="B16" s="46" t="s">
        <v>101</v>
      </c>
      <c r="C16" s="47" t="s">
        <v>88</v>
      </c>
      <c r="D16" s="46" t="s">
        <v>100</v>
      </c>
      <c r="E16" s="48"/>
    </row>
    <row r="17" spans="1:9" x14ac:dyDescent="0.15">
      <c r="A17" s="49">
        <v>500</v>
      </c>
      <c r="B17" s="50">
        <v>1500</v>
      </c>
      <c r="C17" s="50">
        <v>2000</v>
      </c>
      <c r="D17" s="50">
        <v>2500</v>
      </c>
      <c r="E17" s="51" t="s">
        <v>102</v>
      </c>
    </row>
    <row r="18" spans="1:9" x14ac:dyDescent="0.15">
      <c r="A18" s="52" t="s">
        <v>103</v>
      </c>
      <c r="B18" s="445" t="s">
        <v>104</v>
      </c>
      <c r="C18" s="446"/>
      <c r="D18" s="446"/>
      <c r="E18" s="48"/>
    </row>
    <row r="19" spans="1:9" x14ac:dyDescent="0.15">
      <c r="A19" s="53" t="s">
        <v>105</v>
      </c>
      <c r="B19" s="47"/>
      <c r="C19" s="47"/>
      <c r="D19" s="47"/>
      <c r="E19" s="48"/>
    </row>
    <row r="20" spans="1:9" x14ac:dyDescent="0.15">
      <c r="A20" s="45"/>
      <c r="B20" s="47"/>
      <c r="C20" s="47"/>
      <c r="D20" s="47"/>
      <c r="E20" s="48"/>
    </row>
    <row r="21" spans="1:9" ht="14" thickBot="1" x14ac:dyDescent="0.2">
      <c r="A21" s="54"/>
      <c r="B21" s="55"/>
      <c r="C21" s="55"/>
      <c r="D21" s="55"/>
      <c r="E21" s="56"/>
    </row>
    <row r="24" spans="1:9" x14ac:dyDescent="0.15">
      <c r="G24" s="36"/>
      <c r="H24" s="36" t="s">
        <v>94</v>
      </c>
      <c r="I24" s="36" t="s">
        <v>95</v>
      </c>
    </row>
    <row r="25" spans="1:9" x14ac:dyDescent="0.15">
      <c r="B25" s="39" t="s">
        <v>108</v>
      </c>
      <c r="C25" s="39" t="s">
        <v>109</v>
      </c>
      <c r="G25" s="37" t="s">
        <v>97</v>
      </c>
      <c r="H25" s="36">
        <v>1200</v>
      </c>
      <c r="I25" s="36"/>
    </row>
    <row r="26" spans="1:9" x14ac:dyDescent="0.15">
      <c r="G26" s="37" t="s">
        <v>110</v>
      </c>
      <c r="H26" s="36"/>
      <c r="I26" s="36">
        <v>200</v>
      </c>
    </row>
    <row r="27" spans="1:9" x14ac:dyDescent="0.15">
      <c r="G27" s="37" t="s">
        <v>111</v>
      </c>
      <c r="H27" s="36"/>
      <c r="I27" s="36">
        <v>1000</v>
      </c>
    </row>
    <row r="29" spans="1:9" x14ac:dyDescent="0.15">
      <c r="I29" s="39" t="s">
        <v>112</v>
      </c>
    </row>
    <row r="30" spans="1:9" x14ac:dyDescent="0.15">
      <c r="G30" s="58"/>
      <c r="H30" s="58"/>
      <c r="I30" s="58"/>
    </row>
    <row r="33" spans="7:9" x14ac:dyDescent="0.15">
      <c r="G33" s="36"/>
      <c r="H33" s="36" t="s">
        <v>94</v>
      </c>
      <c r="I33" s="36" t="s">
        <v>95</v>
      </c>
    </row>
    <row r="34" spans="7:9" x14ac:dyDescent="0.15">
      <c r="G34" s="37"/>
      <c r="H34" s="36"/>
      <c r="I34" s="36"/>
    </row>
    <row r="35" spans="7:9" x14ac:dyDescent="0.15">
      <c r="G35" s="37" t="s">
        <v>110</v>
      </c>
      <c r="H35" s="36"/>
      <c r="I35" s="36">
        <v>1000</v>
      </c>
    </row>
    <row r="36" spans="7:9" x14ac:dyDescent="0.15">
      <c r="G36" s="37" t="s">
        <v>111</v>
      </c>
      <c r="H36" s="36">
        <v>1000</v>
      </c>
      <c r="I36" s="36"/>
    </row>
  </sheetData>
  <mergeCells count="2">
    <mergeCell ref="B18:D18"/>
    <mergeCell ref="B7:D7"/>
  </mergeCells>
  <pageMargins left="0.7" right="0.7" top="0.75" bottom="0.75" header="0.3" footer="0.3"/>
  <pageSetup paperSize="9" orientation="portrait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55"/>
  <sheetViews>
    <sheetView tabSelected="1" topLeftCell="A14" workbookViewId="0">
      <selection activeCell="B30" sqref="B30"/>
    </sheetView>
  </sheetViews>
  <sheetFormatPr baseColWidth="10" defaultColWidth="11.5" defaultRowHeight="15" x14ac:dyDescent="0.2"/>
  <cols>
    <col min="1" max="1" width="18.83203125" style="261" customWidth="1"/>
    <col min="2" max="4" width="16.5" style="261" bestFit="1" customWidth="1"/>
    <col min="5" max="5" width="12.83203125" style="261" bestFit="1" customWidth="1"/>
    <col min="6" max="7" width="15.5" style="261" bestFit="1" customWidth="1"/>
    <col min="8" max="8" width="18" style="261" bestFit="1" customWidth="1"/>
    <col min="9" max="9" width="11.5" style="261"/>
    <col min="10" max="10" width="14.5" style="261" bestFit="1" customWidth="1"/>
    <col min="11" max="16384" width="11.5" style="261"/>
  </cols>
  <sheetData>
    <row r="1" spans="1:12" x14ac:dyDescent="0.2">
      <c r="A1" s="261" t="s">
        <v>656</v>
      </c>
    </row>
    <row r="3" spans="1:12" x14ac:dyDescent="0.2">
      <c r="A3" s="468" t="s">
        <v>657</v>
      </c>
      <c r="B3" s="468"/>
      <c r="C3" s="468"/>
      <c r="D3" s="468"/>
      <c r="E3" s="468"/>
    </row>
    <row r="4" spans="1:12" x14ac:dyDescent="0.2">
      <c r="A4" s="262" t="s">
        <v>658</v>
      </c>
      <c r="B4" s="262" t="s">
        <v>4</v>
      </c>
      <c r="C4" s="465" t="s">
        <v>659</v>
      </c>
      <c r="D4" s="465"/>
      <c r="E4" s="262" t="s">
        <v>660</v>
      </c>
      <c r="F4" s="262" t="s">
        <v>661</v>
      </c>
      <c r="H4" s="262" t="s">
        <v>658</v>
      </c>
      <c r="I4" s="262" t="s">
        <v>4</v>
      </c>
      <c r="J4" s="327" t="s">
        <v>659</v>
      </c>
      <c r="K4" s="262" t="s">
        <v>660</v>
      </c>
      <c r="L4" s="262" t="s">
        <v>661</v>
      </c>
    </row>
    <row r="5" spans="1:12" x14ac:dyDescent="0.2">
      <c r="A5" s="262"/>
      <c r="B5" s="262"/>
      <c r="C5" s="262" t="s">
        <v>662</v>
      </c>
      <c r="D5" s="262" t="s">
        <v>663</v>
      </c>
      <c r="E5" s="262"/>
      <c r="F5" s="262"/>
      <c r="H5" s="262"/>
      <c r="I5" s="262"/>
      <c r="J5" s="262"/>
      <c r="K5" s="262"/>
      <c r="L5" s="262"/>
    </row>
    <row r="6" spans="1:12" x14ac:dyDescent="0.2">
      <c r="A6" s="273" t="s">
        <v>664</v>
      </c>
      <c r="B6" s="262">
        <v>1000</v>
      </c>
      <c r="C6" s="262">
        <v>900</v>
      </c>
      <c r="D6" s="262">
        <v>100</v>
      </c>
      <c r="E6" s="262"/>
      <c r="F6" s="262"/>
      <c r="H6" s="273" t="s">
        <v>664</v>
      </c>
      <c r="I6" s="262">
        <v>1000</v>
      </c>
      <c r="J6" s="262">
        <v>1000</v>
      </c>
      <c r="K6" s="262"/>
      <c r="L6" s="262"/>
    </row>
    <row r="7" spans="1:12" x14ac:dyDescent="0.2">
      <c r="A7" s="262" t="s">
        <v>665</v>
      </c>
      <c r="B7" s="262">
        <v>100</v>
      </c>
      <c r="C7" s="262"/>
      <c r="D7" s="262"/>
      <c r="E7" s="262"/>
      <c r="F7" s="262">
        <v>100</v>
      </c>
      <c r="H7" s="262" t="s">
        <v>665</v>
      </c>
      <c r="I7" s="262">
        <v>100</v>
      </c>
      <c r="J7" s="262"/>
      <c r="K7" s="262"/>
      <c r="L7" s="262">
        <v>100</v>
      </c>
    </row>
    <row r="8" spans="1:12" x14ac:dyDescent="0.2">
      <c r="A8" s="262" t="s">
        <v>304</v>
      </c>
      <c r="B8" s="262">
        <v>4576.5</v>
      </c>
      <c r="C8" s="262"/>
      <c r="D8" s="262"/>
      <c r="E8" s="262">
        <v>4576.5</v>
      </c>
      <c r="F8" s="262"/>
      <c r="H8" s="262" t="s">
        <v>304</v>
      </c>
      <c r="I8" s="262">
        <v>4576.5</v>
      </c>
      <c r="J8" s="262"/>
      <c r="K8" s="262">
        <v>4576.5</v>
      </c>
      <c r="L8" s="262"/>
    </row>
    <row r="9" spans="1:12" x14ac:dyDescent="0.2">
      <c r="A9" s="262" t="s">
        <v>666</v>
      </c>
      <c r="B9" s="262">
        <v>100</v>
      </c>
      <c r="C9" s="262">
        <v>90</v>
      </c>
      <c r="D9" s="262">
        <v>10</v>
      </c>
      <c r="E9" s="262"/>
      <c r="F9" s="262"/>
      <c r="H9" s="262" t="s">
        <v>666</v>
      </c>
      <c r="I9" s="262">
        <v>100</v>
      </c>
      <c r="J9" s="262">
        <v>100</v>
      </c>
      <c r="K9" s="262"/>
      <c r="L9" s="262"/>
    </row>
    <row r="10" spans="1:12" x14ac:dyDescent="0.2">
      <c r="A10" s="262" t="s">
        <v>667</v>
      </c>
      <c r="B10" s="262">
        <v>10</v>
      </c>
      <c r="C10" s="262"/>
      <c r="D10" s="262"/>
      <c r="E10" s="262"/>
      <c r="F10" s="262">
        <v>10</v>
      </c>
      <c r="H10" s="262" t="s">
        <v>667</v>
      </c>
      <c r="I10" s="262">
        <v>10</v>
      </c>
      <c r="J10" s="262"/>
      <c r="K10" s="262"/>
      <c r="L10" s="262">
        <v>10</v>
      </c>
    </row>
    <row r="11" spans="1:12" x14ac:dyDescent="0.2">
      <c r="A11" s="261" t="s">
        <v>668</v>
      </c>
      <c r="B11" s="266">
        <v>120</v>
      </c>
      <c r="C11" s="262"/>
      <c r="D11" s="262"/>
      <c r="E11" s="262">
        <v>120</v>
      </c>
      <c r="F11" s="262"/>
      <c r="H11" s="261" t="s">
        <v>668</v>
      </c>
      <c r="I11" s="266">
        <v>120</v>
      </c>
      <c r="J11" s="262"/>
      <c r="K11" s="262">
        <v>120</v>
      </c>
      <c r="L11" s="262"/>
    </row>
    <row r="12" spans="1:12" x14ac:dyDescent="0.2">
      <c r="A12" s="262" t="s">
        <v>669</v>
      </c>
      <c r="B12" s="262">
        <v>100</v>
      </c>
      <c r="C12" s="262">
        <v>90</v>
      </c>
      <c r="D12" s="262">
        <v>10</v>
      </c>
      <c r="E12" s="262"/>
      <c r="F12" s="262"/>
      <c r="H12" s="262" t="s">
        <v>669</v>
      </c>
      <c r="I12" s="262">
        <v>100</v>
      </c>
      <c r="J12" s="262">
        <v>100</v>
      </c>
      <c r="K12" s="262"/>
      <c r="L12" s="262"/>
    </row>
    <row r="13" spans="1:12" x14ac:dyDescent="0.2">
      <c r="A13" s="262" t="s">
        <v>670</v>
      </c>
      <c r="B13" s="262">
        <v>10</v>
      </c>
      <c r="C13" s="262"/>
      <c r="D13" s="262"/>
      <c r="E13" s="262"/>
      <c r="F13" s="262">
        <v>10</v>
      </c>
      <c r="H13" s="262" t="s">
        <v>670</v>
      </c>
      <c r="I13" s="262">
        <v>10</v>
      </c>
      <c r="J13" s="262"/>
      <c r="K13" s="262"/>
      <c r="L13" s="262">
        <v>10</v>
      </c>
    </row>
    <row r="14" spans="1:12" x14ac:dyDescent="0.2">
      <c r="A14" s="262" t="s">
        <v>4</v>
      </c>
      <c r="B14" s="262">
        <f>SUM(B6:B13)</f>
        <v>6016.5</v>
      </c>
      <c r="C14" s="132">
        <f>SUM(C6:C13)</f>
        <v>1080</v>
      </c>
      <c r="D14" s="132">
        <f>SUM(D6:D13)</f>
        <v>120</v>
      </c>
      <c r="E14" s="132">
        <f>SUM(E6:E13)</f>
        <v>4696.5</v>
      </c>
      <c r="F14" s="132">
        <f>SUM(F6:F13)</f>
        <v>120</v>
      </c>
      <c r="H14" s="262" t="s">
        <v>4</v>
      </c>
      <c r="I14" s="262">
        <f>SUM(I6:I13)</f>
        <v>6016.5</v>
      </c>
      <c r="J14" s="262">
        <f>J6+J9+J12</f>
        <v>1200</v>
      </c>
      <c r="K14" s="262">
        <f>SUM(K6:K13)</f>
        <v>4696.5</v>
      </c>
      <c r="L14" s="262">
        <f>SUM(L6:L13)</f>
        <v>120</v>
      </c>
    </row>
    <row r="15" spans="1:12" x14ac:dyDescent="0.2">
      <c r="J15" s="261" t="s">
        <v>671</v>
      </c>
      <c r="K15" s="160">
        <f>0.9*J14</f>
        <v>1080</v>
      </c>
    </row>
    <row r="16" spans="1:12" x14ac:dyDescent="0.2">
      <c r="A16" s="261" t="s">
        <v>26</v>
      </c>
      <c r="J16" s="261" t="s">
        <v>672</v>
      </c>
      <c r="K16" s="160">
        <f>0.1*J14</f>
        <v>120</v>
      </c>
    </row>
    <row r="17" spans="1:4" x14ac:dyDescent="0.2">
      <c r="C17" s="261" t="s">
        <v>673</v>
      </c>
      <c r="D17" s="261" t="s">
        <v>674</v>
      </c>
    </row>
    <row r="18" spans="1:4" x14ac:dyDescent="0.2">
      <c r="A18" s="261" t="s">
        <v>675</v>
      </c>
      <c r="C18" s="261">
        <v>90000</v>
      </c>
      <c r="D18" s="261">
        <v>10000</v>
      </c>
    </row>
    <row r="19" spans="1:4" x14ac:dyDescent="0.2">
      <c r="A19" s="261" t="s">
        <v>676</v>
      </c>
      <c r="C19" s="261">
        <v>1980000</v>
      </c>
    </row>
    <row r="20" spans="1:4" x14ac:dyDescent="0.2">
      <c r="A20" s="261" t="s">
        <v>677</v>
      </c>
      <c r="D20" s="261">
        <v>20000</v>
      </c>
    </row>
    <row r="21" spans="1:4" x14ac:dyDescent="0.2">
      <c r="A21" s="261" t="s">
        <v>678</v>
      </c>
      <c r="C21" s="261">
        <v>1080000</v>
      </c>
      <c r="D21" s="261">
        <v>120000</v>
      </c>
    </row>
    <row r="22" spans="1:4" x14ac:dyDescent="0.2">
      <c r="A22" s="261" t="s">
        <v>366</v>
      </c>
      <c r="C22" s="261">
        <f>SUM(C18:C21)</f>
        <v>3150000</v>
      </c>
      <c r="D22" s="261">
        <f>SUM(D18:D21)</f>
        <v>150000</v>
      </c>
    </row>
    <row r="23" spans="1:4" x14ac:dyDescent="0.2">
      <c r="A23" s="261" t="s">
        <v>679</v>
      </c>
      <c r="C23" s="261">
        <v>9000000</v>
      </c>
      <c r="D23" s="261">
        <v>1000000</v>
      </c>
    </row>
    <row r="24" spans="1:4" x14ac:dyDescent="0.2">
      <c r="A24" s="261" t="s">
        <v>680</v>
      </c>
      <c r="C24" s="328">
        <f>C22/C23</f>
        <v>0.35</v>
      </c>
      <c r="D24" s="261">
        <f>D22/D23</f>
        <v>0.15</v>
      </c>
    </row>
    <row r="26" spans="1:4" x14ac:dyDescent="0.2">
      <c r="A26" s="261" t="s">
        <v>673</v>
      </c>
      <c r="B26" s="261" t="s">
        <v>2</v>
      </c>
      <c r="C26" s="261" t="s">
        <v>681</v>
      </c>
      <c r="D26" s="261" t="s">
        <v>4</v>
      </c>
    </row>
    <row r="27" spans="1:4" x14ac:dyDescent="0.2">
      <c r="A27" s="261" t="s">
        <v>682</v>
      </c>
      <c r="B27" s="261">
        <v>9000000</v>
      </c>
      <c r="C27" s="261">
        <v>0.35</v>
      </c>
      <c r="D27" s="261">
        <f>B27*C27</f>
        <v>3150000</v>
      </c>
    </row>
    <row r="28" spans="1:4" x14ac:dyDescent="0.2">
      <c r="A28" s="261" t="s">
        <v>683</v>
      </c>
      <c r="B28" s="261">
        <v>8000000</v>
      </c>
      <c r="C28" s="261">
        <v>0.35</v>
      </c>
      <c r="D28" s="261">
        <f>B28*C28</f>
        <v>2800000</v>
      </c>
    </row>
    <row r="29" spans="1:4" x14ac:dyDescent="0.2">
      <c r="A29" s="261" t="s">
        <v>684</v>
      </c>
      <c r="B29" s="261">
        <v>-10000</v>
      </c>
      <c r="C29" s="261">
        <v>0.35</v>
      </c>
      <c r="D29" s="261">
        <f>B29*C29</f>
        <v>-3500</v>
      </c>
    </row>
    <row r="30" spans="1:4" x14ac:dyDescent="0.2">
      <c r="A30" s="261" t="s">
        <v>685</v>
      </c>
      <c r="B30" s="329">
        <f>B27-(B28-B29)</f>
        <v>990000</v>
      </c>
      <c r="C30" s="261">
        <v>0.35</v>
      </c>
      <c r="D30" s="261">
        <f>B30*C30</f>
        <v>346500</v>
      </c>
    </row>
    <row r="32" spans="1:4" x14ac:dyDescent="0.2">
      <c r="A32" s="261" t="s">
        <v>674</v>
      </c>
      <c r="B32" s="261" t="s">
        <v>2</v>
      </c>
      <c r="C32" s="261" t="s">
        <v>681</v>
      </c>
      <c r="D32" s="261" t="s">
        <v>4</v>
      </c>
    </row>
    <row r="33" spans="1:7" x14ac:dyDescent="0.2">
      <c r="A33" s="261" t="s">
        <v>682</v>
      </c>
      <c r="B33" s="261">
        <v>1000000</v>
      </c>
      <c r="C33" s="261">
        <v>0.15</v>
      </c>
      <c r="D33" s="261">
        <f>B33*C33</f>
        <v>150000</v>
      </c>
    </row>
    <row r="34" spans="1:7" x14ac:dyDescent="0.2">
      <c r="A34" s="261" t="s">
        <v>683</v>
      </c>
      <c r="B34" s="261">
        <v>1000000</v>
      </c>
      <c r="C34" s="261">
        <v>0.15</v>
      </c>
      <c r="D34" s="261">
        <f>B34*C34</f>
        <v>150000</v>
      </c>
    </row>
    <row r="36" spans="1:7" x14ac:dyDescent="0.2">
      <c r="A36" s="261" t="s">
        <v>686</v>
      </c>
    </row>
    <row r="38" spans="1:7" x14ac:dyDescent="0.2">
      <c r="A38" s="261" t="s">
        <v>687</v>
      </c>
    </row>
    <row r="39" spans="1:7" x14ac:dyDescent="0.2">
      <c r="A39" s="261" t="s">
        <v>688</v>
      </c>
    </row>
    <row r="40" spans="1:7" x14ac:dyDescent="0.2">
      <c r="A40" s="261" t="s">
        <v>689</v>
      </c>
    </row>
    <row r="41" spans="1:7" x14ac:dyDescent="0.2">
      <c r="A41" s="261" t="s">
        <v>690</v>
      </c>
    </row>
    <row r="43" spans="1:7" x14ac:dyDescent="0.2">
      <c r="A43" s="261" t="s">
        <v>643</v>
      </c>
    </row>
    <row r="44" spans="1:7" x14ac:dyDescent="0.2">
      <c r="B44" s="261" t="s">
        <v>691</v>
      </c>
      <c r="C44" s="261" t="s">
        <v>692</v>
      </c>
      <c r="D44" s="261" t="s">
        <v>4</v>
      </c>
    </row>
    <row r="45" spans="1:7" x14ac:dyDescent="0.2">
      <c r="A45" s="261" t="s">
        <v>16</v>
      </c>
      <c r="B45" s="261">
        <v>8000000</v>
      </c>
      <c r="C45" s="261">
        <v>1000000</v>
      </c>
      <c r="D45" s="261">
        <f>B45+C45</f>
        <v>9000000</v>
      </c>
    </row>
    <row r="46" spans="1:7" x14ac:dyDescent="0.2">
      <c r="A46" s="261" t="s">
        <v>41</v>
      </c>
      <c r="B46" s="261">
        <v>-2800000</v>
      </c>
      <c r="C46" s="261">
        <v>-150000</v>
      </c>
      <c r="D46" s="261">
        <f>B46+C46</f>
        <v>-2950000</v>
      </c>
      <c r="G46" s="261">
        <f>-D48</f>
        <v>4696500</v>
      </c>
    </row>
    <row r="47" spans="1:7" x14ac:dyDescent="0.2">
      <c r="A47" s="261" t="s">
        <v>693</v>
      </c>
      <c r="B47" s="261">
        <f>SUM(B45:B46)</f>
        <v>5200000</v>
      </c>
      <c r="C47" s="261">
        <f>SUM(C45:C46)</f>
        <v>850000</v>
      </c>
      <c r="D47" s="261">
        <f>B47+C47</f>
        <v>6050000</v>
      </c>
      <c r="G47" s="261">
        <f>B34+B28</f>
        <v>9000000</v>
      </c>
    </row>
    <row r="48" spans="1:7" x14ac:dyDescent="0.2">
      <c r="A48" s="261" t="s">
        <v>694</v>
      </c>
      <c r="B48" s="261">
        <f>-8000000*G48</f>
        <v>-4174666.666666667</v>
      </c>
      <c r="C48" s="261">
        <f>-1000000*G48</f>
        <v>-521833.33333333337</v>
      </c>
      <c r="D48" s="261">
        <f>-E14*1000</f>
        <v>-4696500</v>
      </c>
      <c r="G48" s="261">
        <f>G46/G47</f>
        <v>0.52183333333333337</v>
      </c>
    </row>
    <row r="49" spans="1:4" x14ac:dyDescent="0.2">
      <c r="A49" s="261" t="s">
        <v>695</v>
      </c>
      <c r="B49" s="261">
        <f>B47+B48</f>
        <v>1025333.333333333</v>
      </c>
      <c r="C49" s="261">
        <f>C47+C48</f>
        <v>328166.66666666663</v>
      </c>
      <c r="D49" s="261">
        <f>SUM(D47:D48)</f>
        <v>1353500</v>
      </c>
    </row>
    <row r="50" spans="1:4" x14ac:dyDescent="0.2">
      <c r="A50" s="261" t="s">
        <v>696</v>
      </c>
      <c r="D50" s="261">
        <v>-120000</v>
      </c>
    </row>
    <row r="51" spans="1:4" x14ac:dyDescent="0.2">
      <c r="A51" s="261" t="s">
        <v>697</v>
      </c>
      <c r="B51" s="261">
        <f>SUM(B49:B50)</f>
        <v>1025333.333333333</v>
      </c>
      <c r="C51" s="261">
        <f>SUM(C49:C50)</f>
        <v>328166.66666666663</v>
      </c>
      <c r="D51" s="261">
        <f>SUM(D49:D50)</f>
        <v>1233500</v>
      </c>
    </row>
    <row r="52" spans="1:4" x14ac:dyDescent="0.2">
      <c r="A52" s="261" t="s">
        <v>698</v>
      </c>
      <c r="D52" s="261">
        <v>-3500</v>
      </c>
    </row>
    <row r="53" spans="1:4" x14ac:dyDescent="0.2">
      <c r="A53" s="261" t="s">
        <v>699</v>
      </c>
      <c r="D53" s="261">
        <f>SUM(D51:D52)</f>
        <v>1230000</v>
      </c>
    </row>
    <row r="54" spans="1:4" x14ac:dyDescent="0.2">
      <c r="A54" s="261" t="s">
        <v>700</v>
      </c>
      <c r="D54" s="261">
        <v>-1230000</v>
      </c>
    </row>
    <row r="55" spans="1:4" x14ac:dyDescent="0.2">
      <c r="A55" s="261" t="s">
        <v>701</v>
      </c>
      <c r="D55" s="261">
        <v>0</v>
      </c>
    </row>
  </sheetData>
  <mergeCells count="2">
    <mergeCell ref="A3:E3"/>
    <mergeCell ref="C4:D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182"/>
  <sheetViews>
    <sheetView topLeftCell="A7" workbookViewId="0">
      <selection activeCell="A62" sqref="A62"/>
    </sheetView>
  </sheetViews>
  <sheetFormatPr baseColWidth="10" defaultRowHeight="13" x14ac:dyDescent="0.15"/>
  <cols>
    <col min="1" max="1" width="23.83203125" customWidth="1"/>
    <col min="2" max="2" width="16.5" bestFit="1" customWidth="1"/>
    <col min="3" max="3" width="17.5" bestFit="1" customWidth="1"/>
    <col min="4" max="4" width="16.5" bestFit="1" customWidth="1"/>
    <col min="5" max="5" width="20.5" bestFit="1" customWidth="1"/>
    <col min="6" max="6" width="19.6640625" customWidth="1"/>
    <col min="7" max="7" width="16.5" bestFit="1" customWidth="1"/>
    <col min="8" max="8" width="28.1640625" bestFit="1" customWidth="1"/>
    <col min="9" max="9" width="14.83203125" bestFit="1" customWidth="1"/>
    <col min="10" max="10" width="15.5" bestFit="1" customWidth="1"/>
    <col min="11" max="11" width="14.83203125" bestFit="1" customWidth="1"/>
    <col min="13" max="13" width="40.6640625" bestFit="1" customWidth="1"/>
    <col min="14" max="14" width="20.83203125" bestFit="1" customWidth="1"/>
    <col min="15" max="15" width="18.1640625" bestFit="1" customWidth="1"/>
    <col min="16" max="16" width="14.83203125" bestFit="1" customWidth="1"/>
  </cols>
  <sheetData>
    <row r="1" spans="1:17" ht="16" thickBot="1" x14ac:dyDescent="0.25">
      <c r="A1" s="131" t="s">
        <v>273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</row>
    <row r="2" spans="1:17" ht="16" thickBot="1" x14ac:dyDescent="0.25">
      <c r="A2" s="131"/>
      <c r="B2" s="131"/>
      <c r="C2" s="131" t="s">
        <v>274</v>
      </c>
      <c r="D2" s="131"/>
      <c r="E2" s="131"/>
      <c r="F2" s="131"/>
      <c r="G2" s="131"/>
      <c r="H2" s="131"/>
      <c r="I2" s="131"/>
      <c r="J2" s="131"/>
      <c r="K2" s="131"/>
      <c r="L2" s="131"/>
      <c r="M2" s="177" t="s">
        <v>275</v>
      </c>
      <c r="N2" s="178" t="s">
        <v>276</v>
      </c>
      <c r="O2" s="131"/>
      <c r="P2" s="131"/>
      <c r="Q2" s="131"/>
    </row>
    <row r="3" spans="1:17" ht="16" thickBot="1" x14ac:dyDescent="0.25">
      <c r="A3" s="131" t="s">
        <v>277</v>
      </c>
      <c r="B3" s="131"/>
      <c r="C3" s="131" t="s">
        <v>278</v>
      </c>
      <c r="D3" s="131"/>
      <c r="E3" s="131"/>
      <c r="F3" s="131"/>
      <c r="G3" s="131"/>
      <c r="H3" s="131"/>
      <c r="I3" s="131"/>
      <c r="J3" s="131"/>
      <c r="K3" s="131"/>
      <c r="L3" s="131"/>
      <c r="M3" s="179" t="s">
        <v>279</v>
      </c>
      <c r="N3" s="180">
        <v>150000</v>
      </c>
      <c r="O3" s="131"/>
      <c r="P3" s="131"/>
      <c r="Q3" s="131"/>
    </row>
    <row r="4" spans="1:17" ht="16" thickBot="1" x14ac:dyDescent="0.25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81" t="s">
        <v>280</v>
      </c>
      <c r="N4" s="182">
        <v>180000</v>
      </c>
      <c r="O4" s="131"/>
      <c r="P4" s="131"/>
      <c r="Q4" s="131"/>
    </row>
    <row r="5" spans="1:17" ht="16" thickBot="1" x14ac:dyDescent="0.25">
      <c r="A5" s="131"/>
      <c r="B5" s="131"/>
      <c r="C5" s="131"/>
      <c r="D5" s="131"/>
      <c r="E5" s="131"/>
      <c r="F5" s="131" t="s">
        <v>281</v>
      </c>
      <c r="G5" s="131"/>
      <c r="H5" s="131"/>
      <c r="I5" s="131"/>
      <c r="J5" s="131"/>
      <c r="K5" s="131"/>
      <c r="L5" s="131"/>
      <c r="M5" s="181" t="s">
        <v>282</v>
      </c>
      <c r="N5" s="182">
        <v>20000</v>
      </c>
      <c r="O5" s="131"/>
      <c r="P5" s="131"/>
      <c r="Q5" s="131"/>
    </row>
    <row r="6" spans="1:17" ht="16" thickBot="1" x14ac:dyDescent="0.25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81" t="s">
        <v>283</v>
      </c>
      <c r="N6" s="182">
        <v>12000</v>
      </c>
      <c r="O6" s="131"/>
      <c r="P6" s="131"/>
      <c r="Q6" s="131"/>
    </row>
    <row r="7" spans="1:17" ht="16" thickBot="1" x14ac:dyDescent="0.25">
      <c r="A7" s="131" t="s">
        <v>284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81" t="s">
        <v>285</v>
      </c>
      <c r="N7" s="182">
        <v>108000</v>
      </c>
      <c r="O7" s="131"/>
      <c r="P7" s="131"/>
      <c r="Q7" s="131"/>
    </row>
    <row r="8" spans="1:17" ht="16" thickBot="1" x14ac:dyDescent="0.25">
      <c r="A8" s="131"/>
      <c r="B8" s="131"/>
      <c r="C8" s="472" t="s">
        <v>286</v>
      </c>
      <c r="D8" s="472"/>
      <c r="E8" s="472"/>
      <c r="F8" s="131" t="s">
        <v>287</v>
      </c>
      <c r="G8" s="131"/>
      <c r="H8" s="131"/>
      <c r="I8" s="131"/>
      <c r="J8" s="131"/>
      <c r="K8" s="131"/>
      <c r="L8" s="131"/>
      <c r="M8" s="181" t="s">
        <v>288</v>
      </c>
      <c r="N8" s="182">
        <v>3000000</v>
      </c>
      <c r="O8" s="131"/>
      <c r="P8" s="131"/>
      <c r="Q8" s="131"/>
    </row>
    <row r="9" spans="1:17" ht="33" thickBot="1" x14ac:dyDescent="0.25">
      <c r="A9" s="130" t="s">
        <v>289</v>
      </c>
      <c r="B9" s="130" t="s">
        <v>290</v>
      </c>
      <c r="C9" s="130" t="s">
        <v>291</v>
      </c>
      <c r="D9" s="130" t="s">
        <v>292</v>
      </c>
      <c r="E9" s="183" t="s">
        <v>293</v>
      </c>
      <c r="F9" s="130" t="s">
        <v>294</v>
      </c>
      <c r="G9" s="131"/>
      <c r="H9" s="184" t="s">
        <v>295</v>
      </c>
      <c r="I9" s="185"/>
      <c r="J9" s="186">
        <v>150000</v>
      </c>
      <c r="K9" s="131"/>
      <c r="L9" s="131"/>
      <c r="M9" s="181" t="s">
        <v>296</v>
      </c>
      <c r="N9" s="182">
        <v>91000</v>
      </c>
      <c r="O9" s="131"/>
      <c r="P9" s="131"/>
      <c r="Q9" s="131"/>
    </row>
    <row r="10" spans="1:17" ht="16" thickBot="1" x14ac:dyDescent="0.25">
      <c r="A10" s="130" t="s">
        <v>297</v>
      </c>
      <c r="B10" s="130">
        <f>J13</f>
        <v>12000</v>
      </c>
      <c r="C10" s="130"/>
      <c r="D10" s="130">
        <v>12000</v>
      </c>
      <c r="E10" s="130"/>
      <c r="F10" s="130"/>
      <c r="G10" s="131"/>
      <c r="H10" s="187"/>
      <c r="I10" s="139"/>
      <c r="J10" s="188"/>
      <c r="K10" s="131"/>
      <c r="L10" s="131"/>
      <c r="M10" s="181" t="s">
        <v>298</v>
      </c>
      <c r="N10" s="182">
        <v>386000</v>
      </c>
      <c r="O10" s="131"/>
      <c r="P10" s="131"/>
      <c r="Q10" s="131"/>
    </row>
    <row r="11" spans="1:17" ht="16" thickBot="1" x14ac:dyDescent="0.25">
      <c r="A11" s="130" t="s">
        <v>299</v>
      </c>
      <c r="B11" s="130">
        <f>J18</f>
        <v>42000</v>
      </c>
      <c r="C11" s="130">
        <v>42000</v>
      </c>
      <c r="D11" s="130"/>
      <c r="E11" s="130"/>
      <c r="F11" s="130"/>
      <c r="G11" s="131"/>
      <c r="H11" s="187" t="s">
        <v>300</v>
      </c>
      <c r="I11" s="139"/>
      <c r="J11" s="188">
        <v>500000</v>
      </c>
      <c r="K11" s="131"/>
      <c r="L11" s="131"/>
      <c r="M11" s="181" t="s">
        <v>301</v>
      </c>
      <c r="N11" s="182">
        <v>50000</v>
      </c>
      <c r="O11" s="131"/>
      <c r="P11" s="131"/>
      <c r="Q11" s="131"/>
    </row>
    <row r="12" spans="1:17" ht="16" thickBot="1" x14ac:dyDescent="0.25">
      <c r="A12" s="130" t="s">
        <v>302</v>
      </c>
      <c r="B12" s="130">
        <f>J21</f>
        <v>2000</v>
      </c>
      <c r="C12" s="130"/>
      <c r="D12" s="130">
        <f>B12*0.2</f>
        <v>400</v>
      </c>
      <c r="E12" s="130">
        <f>B12*0.8</f>
        <v>1600</v>
      </c>
      <c r="F12" s="130"/>
      <c r="G12" s="131"/>
      <c r="H12" s="187" t="s">
        <v>303</v>
      </c>
      <c r="I12" s="139"/>
      <c r="J12" s="188">
        <v>40000</v>
      </c>
      <c r="K12" s="131"/>
      <c r="L12" s="131"/>
      <c r="M12" s="181" t="s">
        <v>304</v>
      </c>
      <c r="N12" s="182">
        <v>88000</v>
      </c>
      <c r="O12" s="131" t="s">
        <v>305</v>
      </c>
      <c r="P12" s="131"/>
      <c r="Q12" s="131"/>
    </row>
    <row r="13" spans="1:17" ht="16" thickBot="1" x14ac:dyDescent="0.25">
      <c r="A13" s="130" t="s">
        <v>306</v>
      </c>
      <c r="B13" s="130">
        <v>386000</v>
      </c>
      <c r="C13" s="130">
        <f>28000*5</f>
        <v>140000</v>
      </c>
      <c r="D13" s="130">
        <f>32000*3</f>
        <v>96000</v>
      </c>
      <c r="E13" s="130">
        <f>30000*5</f>
        <v>150000</v>
      </c>
      <c r="F13" s="130"/>
      <c r="G13" s="131"/>
      <c r="H13" s="189" t="s">
        <v>307</v>
      </c>
      <c r="I13" s="190"/>
      <c r="J13" s="191">
        <f>J9*J12/J11</f>
        <v>12000</v>
      </c>
      <c r="K13" s="131"/>
      <c r="L13" s="131"/>
      <c r="M13" s="181" t="s">
        <v>308</v>
      </c>
      <c r="N13" s="182">
        <v>48000</v>
      </c>
      <c r="O13" s="131"/>
      <c r="P13" s="131"/>
      <c r="Q13" s="131"/>
    </row>
    <row r="14" spans="1:17" ht="16" thickBot="1" x14ac:dyDescent="0.25">
      <c r="A14" s="130" t="s">
        <v>309</v>
      </c>
      <c r="B14" s="130">
        <v>50000</v>
      </c>
      <c r="C14" s="130"/>
      <c r="D14" s="130"/>
      <c r="E14" s="130">
        <v>50000</v>
      </c>
      <c r="F14" s="130"/>
      <c r="G14" s="131"/>
      <c r="H14" s="184" t="s">
        <v>310</v>
      </c>
      <c r="I14" s="185"/>
      <c r="J14" s="186">
        <v>180000</v>
      </c>
      <c r="K14" s="131"/>
      <c r="L14" s="131"/>
      <c r="M14" s="181" t="s">
        <v>311</v>
      </c>
      <c r="N14" s="182">
        <v>3500</v>
      </c>
      <c r="O14" s="131" t="s">
        <v>312</v>
      </c>
      <c r="P14" s="131"/>
      <c r="Q14" s="131"/>
    </row>
    <row r="15" spans="1:17" ht="15" x14ac:dyDescent="0.2">
      <c r="A15" s="130" t="s">
        <v>304</v>
      </c>
      <c r="B15" s="130">
        <v>88000</v>
      </c>
      <c r="C15" s="130"/>
      <c r="D15" s="130">
        <v>88000</v>
      </c>
      <c r="E15" s="130"/>
      <c r="F15" s="130"/>
      <c r="G15" s="131"/>
      <c r="H15" s="187"/>
      <c r="I15" s="139"/>
      <c r="J15" s="188"/>
      <c r="K15" s="131"/>
      <c r="L15" s="131"/>
      <c r="M15" s="131"/>
      <c r="N15" s="131"/>
      <c r="O15" s="131"/>
      <c r="P15" s="131"/>
      <c r="Q15" s="131"/>
    </row>
    <row r="16" spans="1:17" ht="15" x14ac:dyDescent="0.2">
      <c r="A16" s="130" t="s">
        <v>313</v>
      </c>
      <c r="B16" s="130">
        <v>48000</v>
      </c>
      <c r="C16" s="130">
        <f>B16*0.4</f>
        <v>19200</v>
      </c>
      <c r="D16" s="130">
        <f>B16*0.1</f>
        <v>4800</v>
      </c>
      <c r="E16" s="130">
        <f>B16*0.2</f>
        <v>9600</v>
      </c>
      <c r="F16" s="130">
        <f>B16*0.3</f>
        <v>14400</v>
      </c>
      <c r="G16" s="131"/>
      <c r="H16" s="187" t="s">
        <v>300</v>
      </c>
      <c r="I16" s="139"/>
      <c r="J16" s="188">
        <v>15000</v>
      </c>
      <c r="K16" s="131"/>
      <c r="L16" s="131"/>
      <c r="M16" s="192" t="s">
        <v>279</v>
      </c>
      <c r="N16" s="193">
        <v>150000</v>
      </c>
      <c r="O16" s="131"/>
      <c r="P16" s="131"/>
      <c r="Q16" s="131"/>
    </row>
    <row r="17" spans="1:17" ht="15" x14ac:dyDescent="0.2">
      <c r="A17" s="194" t="s">
        <v>314</v>
      </c>
      <c r="B17" s="194">
        <f>SUM(B10:B16)</f>
        <v>628000</v>
      </c>
      <c r="C17" s="195">
        <f>SUM(C10:C16)</f>
        <v>201200</v>
      </c>
      <c r="D17" s="196">
        <f>SUM(D10:D16)</f>
        <v>201200</v>
      </c>
      <c r="E17" s="197">
        <f>SUM(E10:E16)</f>
        <v>211200</v>
      </c>
      <c r="F17" s="198">
        <f>SUM(F10:F16)</f>
        <v>14400</v>
      </c>
      <c r="G17" s="131"/>
      <c r="H17" s="187" t="s">
        <v>303</v>
      </c>
      <c r="I17" s="139"/>
      <c r="J17" s="188">
        <v>3500</v>
      </c>
      <c r="K17" s="131"/>
      <c r="L17" s="131"/>
      <c r="M17" s="139" t="s">
        <v>315</v>
      </c>
      <c r="N17" s="139"/>
      <c r="O17" s="131"/>
      <c r="P17" s="131"/>
      <c r="Q17" s="131"/>
    </row>
    <row r="18" spans="1:17" ht="16" thickBot="1" x14ac:dyDescent="0.25">
      <c r="A18" s="199" t="s">
        <v>316</v>
      </c>
      <c r="B18" s="199">
        <f>B17/B17</f>
        <v>1</v>
      </c>
      <c r="C18" s="199">
        <f>C17/B17</f>
        <v>0.32038216560509553</v>
      </c>
      <c r="D18" s="199">
        <f>D17/B17</f>
        <v>0.32038216560509553</v>
      </c>
      <c r="E18" s="199">
        <f>E17/B17</f>
        <v>0.33630573248407641</v>
      </c>
      <c r="F18" s="199">
        <f>F17/B17</f>
        <v>2.2929936305732482E-2</v>
      </c>
      <c r="G18" s="145"/>
      <c r="H18" s="200" t="s">
        <v>307</v>
      </c>
      <c r="I18" s="201"/>
      <c r="J18" s="202">
        <f>J14*J17/J16</f>
        <v>42000</v>
      </c>
      <c r="K18" s="145"/>
      <c r="L18" s="145"/>
      <c r="M18" s="203"/>
      <c r="N18" s="203"/>
      <c r="O18" s="145"/>
      <c r="P18" s="145"/>
      <c r="Q18" s="145"/>
    </row>
    <row r="19" spans="1:17" ht="15" x14ac:dyDescent="0.2">
      <c r="A19" s="130"/>
      <c r="B19" s="130"/>
      <c r="C19" s="130"/>
      <c r="D19" s="130"/>
      <c r="E19" s="130"/>
      <c r="F19" s="130"/>
      <c r="G19" s="131"/>
      <c r="H19" s="184" t="s">
        <v>317</v>
      </c>
      <c r="I19" s="185"/>
      <c r="J19" s="186">
        <v>20000</v>
      </c>
      <c r="K19" s="131"/>
      <c r="L19" s="131"/>
      <c r="M19" s="192" t="s">
        <v>280</v>
      </c>
      <c r="N19" s="193">
        <v>180000</v>
      </c>
      <c r="O19" s="131"/>
      <c r="P19" s="131"/>
      <c r="Q19" s="131"/>
    </row>
    <row r="20" spans="1:17" ht="15" x14ac:dyDescent="0.2">
      <c r="A20" s="131"/>
      <c r="B20" s="131"/>
      <c r="C20" s="131"/>
      <c r="D20" s="131"/>
      <c r="E20" s="131"/>
      <c r="F20" s="131"/>
      <c r="G20" s="131"/>
      <c r="H20" s="187" t="s">
        <v>300</v>
      </c>
      <c r="I20" s="139"/>
      <c r="J20" s="188">
        <v>10</v>
      </c>
      <c r="K20" s="131"/>
      <c r="L20" s="131"/>
      <c r="M20" s="139" t="s">
        <v>318</v>
      </c>
      <c r="N20" s="139"/>
      <c r="O20" s="131"/>
      <c r="P20" s="131"/>
      <c r="Q20" s="131"/>
    </row>
    <row r="21" spans="1:17" ht="16" thickBot="1" x14ac:dyDescent="0.25">
      <c r="A21" s="131" t="s">
        <v>319</v>
      </c>
      <c r="B21" s="131"/>
      <c r="C21" s="131"/>
      <c r="D21" s="131"/>
      <c r="E21" s="131"/>
      <c r="F21" s="131"/>
      <c r="G21" s="131"/>
      <c r="H21" s="189" t="s">
        <v>307</v>
      </c>
      <c r="I21" s="190"/>
      <c r="J21" s="191">
        <f>J19/J20</f>
        <v>2000</v>
      </c>
      <c r="K21" s="131"/>
      <c r="L21" s="131"/>
      <c r="M21" s="139"/>
      <c r="N21" s="139"/>
      <c r="O21" s="131"/>
      <c r="P21" s="131"/>
      <c r="Q21" s="131"/>
    </row>
    <row r="22" spans="1:17" ht="15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92" t="s">
        <v>282</v>
      </c>
      <c r="N22" s="193">
        <v>20000</v>
      </c>
      <c r="O22" s="131"/>
      <c r="P22" s="131"/>
      <c r="Q22" s="131"/>
    </row>
    <row r="23" spans="1:17" ht="15" x14ac:dyDescent="0.2">
      <c r="A23" s="130" t="s">
        <v>320</v>
      </c>
      <c r="B23" s="130" t="s">
        <v>321</v>
      </c>
      <c r="C23" s="130" t="s">
        <v>322</v>
      </c>
      <c r="D23" s="130" t="s">
        <v>4</v>
      </c>
      <c r="E23" s="131"/>
      <c r="F23" s="131"/>
      <c r="G23" s="131"/>
      <c r="H23" s="131"/>
      <c r="I23" s="131"/>
      <c r="J23" s="131"/>
      <c r="K23" s="131"/>
      <c r="L23" s="131"/>
      <c r="M23" s="139" t="s">
        <v>323</v>
      </c>
      <c r="N23" s="139"/>
      <c r="O23" s="131"/>
      <c r="P23" s="131"/>
      <c r="Q23" s="131"/>
    </row>
    <row r="24" spans="1:17" ht="15" x14ac:dyDescent="0.2">
      <c r="A24" s="130" t="s">
        <v>324</v>
      </c>
      <c r="B24" s="130">
        <v>12000</v>
      </c>
      <c r="C24" s="130">
        <v>1</v>
      </c>
      <c r="D24" s="130">
        <v>12000</v>
      </c>
      <c r="E24" s="131"/>
      <c r="F24" s="131"/>
      <c r="G24" s="131"/>
      <c r="H24" s="131">
        <f>H23</f>
        <v>0</v>
      </c>
      <c r="I24" s="131"/>
      <c r="J24" s="131"/>
      <c r="K24" s="131"/>
      <c r="L24" s="131"/>
      <c r="M24" s="131"/>
      <c r="N24" s="131"/>
      <c r="O24" s="131"/>
      <c r="P24" s="131"/>
      <c r="Q24" s="131"/>
    </row>
    <row r="25" spans="1:17" ht="15" x14ac:dyDescent="0.2">
      <c r="A25" s="130" t="s">
        <v>325</v>
      </c>
      <c r="B25" s="130">
        <v>70000</v>
      </c>
      <c r="C25" s="130">
        <v>1.3</v>
      </c>
      <c r="D25" s="130">
        <v>91000</v>
      </c>
      <c r="E25" s="204" t="s">
        <v>326</v>
      </c>
      <c r="F25" s="131" t="s">
        <v>327</v>
      </c>
      <c r="G25" s="131"/>
      <c r="H25" s="205"/>
      <c r="I25" s="131"/>
      <c r="J25" s="131"/>
      <c r="K25" s="131"/>
      <c r="L25" s="131"/>
      <c r="M25" s="192"/>
      <c r="N25" s="193"/>
      <c r="O25" s="131"/>
      <c r="P25" s="131"/>
      <c r="Q25" s="131"/>
    </row>
    <row r="26" spans="1:17" ht="16" thickBot="1" x14ac:dyDescent="0.25">
      <c r="A26" s="130" t="s">
        <v>328</v>
      </c>
      <c r="B26" s="130">
        <v>45000</v>
      </c>
      <c r="C26" s="206">
        <f>(D24+D25)/(B24+B25)</f>
        <v>1.2560975609756098</v>
      </c>
      <c r="D26" s="207">
        <f>B26*C26</f>
        <v>56524.390243902439</v>
      </c>
      <c r="E26" s="131"/>
      <c r="F26" s="131" t="s">
        <v>329</v>
      </c>
      <c r="G26" s="131"/>
      <c r="H26" s="205"/>
      <c r="I26" s="131"/>
      <c r="J26" s="131"/>
      <c r="K26" s="131"/>
      <c r="L26" s="131"/>
      <c r="M26" s="131"/>
      <c r="N26" s="131"/>
      <c r="O26" s="131"/>
      <c r="P26" s="131"/>
      <c r="Q26" s="131"/>
    </row>
    <row r="27" spans="1:17" ht="16" thickBot="1" x14ac:dyDescent="0.25">
      <c r="A27" s="130" t="s">
        <v>330</v>
      </c>
      <c r="B27" s="130">
        <v>26000</v>
      </c>
      <c r="C27" s="130">
        <f>C26</f>
        <v>1.2560975609756098</v>
      </c>
      <c r="D27" s="208">
        <f>B27*C27</f>
        <v>32658.536585365855</v>
      </c>
      <c r="E27" s="131"/>
      <c r="F27" s="131"/>
      <c r="G27" s="131"/>
      <c r="H27" s="131"/>
      <c r="I27" s="131"/>
      <c r="J27" s="131"/>
      <c r="K27" s="131"/>
      <c r="L27" s="131"/>
      <c r="M27" s="209" t="s">
        <v>331</v>
      </c>
      <c r="N27" s="210" t="s">
        <v>332</v>
      </c>
      <c r="O27" s="210" t="s">
        <v>333</v>
      </c>
      <c r="P27" s="211" t="s">
        <v>4</v>
      </c>
      <c r="Q27" s="131"/>
    </row>
    <row r="28" spans="1:17" ht="16" thickBot="1" x14ac:dyDescent="0.25">
      <c r="A28" s="130" t="s">
        <v>334</v>
      </c>
      <c r="B28" s="194">
        <f>B24+B25-B26-B27</f>
        <v>11000</v>
      </c>
      <c r="C28" s="194">
        <f>C27</f>
        <v>1.2560975609756098</v>
      </c>
      <c r="D28" s="194">
        <f>B28*C28</f>
        <v>13817.073170731708</v>
      </c>
      <c r="E28" s="131"/>
      <c r="F28" s="131"/>
      <c r="G28" s="131"/>
      <c r="H28" s="131"/>
      <c r="I28" s="131"/>
      <c r="J28" s="131"/>
      <c r="K28" s="131"/>
      <c r="L28" s="131"/>
      <c r="M28" s="181" t="s">
        <v>335</v>
      </c>
      <c r="N28" s="212">
        <v>1000000</v>
      </c>
      <c r="O28" s="213" t="s">
        <v>336</v>
      </c>
      <c r="P28" s="214">
        <v>3000000</v>
      </c>
      <c r="Q28" s="131"/>
    </row>
    <row r="29" spans="1:17" ht="16" thickBot="1" x14ac:dyDescent="0.25">
      <c r="A29" s="131"/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81" t="s">
        <v>337</v>
      </c>
      <c r="N29" s="212">
        <v>300000</v>
      </c>
      <c r="O29" s="213"/>
      <c r="P29" s="215"/>
      <c r="Q29" s="131"/>
    </row>
    <row r="30" spans="1:17" ht="16" thickBot="1" x14ac:dyDescent="0.25">
      <c r="A30" s="130" t="s">
        <v>338</v>
      </c>
      <c r="B30" s="130" t="s">
        <v>339</v>
      </c>
      <c r="C30" s="130" t="s">
        <v>340</v>
      </c>
      <c r="D30" s="130" t="s">
        <v>4</v>
      </c>
      <c r="E30" s="131"/>
      <c r="F30" s="131" t="s">
        <v>341</v>
      </c>
      <c r="G30" s="131"/>
      <c r="H30" s="131"/>
      <c r="I30" s="131"/>
      <c r="J30" s="131"/>
      <c r="K30" s="131"/>
      <c r="L30" s="131"/>
      <c r="M30" s="181" t="s">
        <v>342</v>
      </c>
      <c r="N30" s="212">
        <v>700000</v>
      </c>
      <c r="O30" s="213"/>
      <c r="P30" s="215"/>
      <c r="Q30" s="131"/>
    </row>
    <row r="31" spans="1:17" ht="15" x14ac:dyDescent="0.2">
      <c r="A31" s="130" t="s">
        <v>324</v>
      </c>
      <c r="B31" s="130"/>
      <c r="C31" s="130"/>
      <c r="D31" s="130"/>
      <c r="E31" s="131"/>
      <c r="F31" s="131"/>
      <c r="G31" s="131" t="s">
        <v>343</v>
      </c>
      <c r="H31" s="131" t="s">
        <v>344</v>
      </c>
      <c r="I31" s="131" t="s">
        <v>345</v>
      </c>
      <c r="J31" s="131"/>
      <c r="K31" s="131"/>
      <c r="L31" s="131"/>
      <c r="M31" s="131"/>
      <c r="N31" s="131"/>
      <c r="O31" s="131"/>
      <c r="P31" s="131"/>
      <c r="Q31" s="131"/>
    </row>
    <row r="32" spans="1:17" ht="16" thickBot="1" x14ac:dyDescent="0.25">
      <c r="A32" s="130" t="s">
        <v>325</v>
      </c>
      <c r="B32" s="130">
        <v>1000000</v>
      </c>
      <c r="C32" s="130">
        <v>3</v>
      </c>
      <c r="D32" s="130">
        <v>3000000</v>
      </c>
      <c r="E32" s="131"/>
      <c r="F32" s="131" t="s">
        <v>346</v>
      </c>
      <c r="G32" s="160">
        <f>C17</f>
        <v>201200</v>
      </c>
      <c r="H32" s="216">
        <f>H33*G34</f>
        <v>112672</v>
      </c>
      <c r="I32" s="217">
        <f>I33*G34</f>
        <v>88528</v>
      </c>
      <c r="J32" s="131"/>
      <c r="K32" s="131"/>
      <c r="L32" s="131"/>
      <c r="M32" s="131"/>
      <c r="N32" s="131"/>
      <c r="O32" s="131"/>
      <c r="P32" s="131"/>
      <c r="Q32" s="131"/>
    </row>
    <row r="33" spans="1:17" ht="16" thickBot="1" x14ac:dyDescent="0.25">
      <c r="A33" s="130" t="s">
        <v>328</v>
      </c>
      <c r="B33" s="130">
        <v>300000</v>
      </c>
      <c r="C33" s="130">
        <v>3</v>
      </c>
      <c r="D33" s="207">
        <v>900000</v>
      </c>
      <c r="E33" s="131"/>
      <c r="F33" s="131" t="s">
        <v>347</v>
      </c>
      <c r="G33" s="131">
        <f>H33+I33</f>
        <v>250000</v>
      </c>
      <c r="H33" s="131">
        <v>140000</v>
      </c>
      <c r="I33" s="131">
        <v>110000</v>
      </c>
      <c r="J33" s="131"/>
      <c r="K33" s="131"/>
      <c r="L33" s="131"/>
      <c r="M33" s="209" t="s">
        <v>320</v>
      </c>
      <c r="N33" s="210" t="s">
        <v>348</v>
      </c>
      <c r="O33" s="210" t="s">
        <v>349</v>
      </c>
      <c r="P33" s="211" t="s">
        <v>4</v>
      </c>
      <c r="Q33" s="131"/>
    </row>
    <row r="34" spans="1:17" ht="16" thickBot="1" x14ac:dyDescent="0.25">
      <c r="A34" s="130" t="s">
        <v>330</v>
      </c>
      <c r="B34" s="130">
        <v>700000</v>
      </c>
      <c r="C34" s="130">
        <v>3</v>
      </c>
      <c r="D34" s="208">
        <v>2100000</v>
      </c>
      <c r="E34" s="131"/>
      <c r="F34" s="131" t="s">
        <v>350</v>
      </c>
      <c r="G34" s="218">
        <f>G32/G33</f>
        <v>0.80479999999999996</v>
      </c>
      <c r="H34" s="145"/>
      <c r="I34" s="145"/>
      <c r="J34" s="131"/>
      <c r="K34" s="131"/>
      <c r="L34" s="131"/>
      <c r="M34" s="181" t="s">
        <v>351</v>
      </c>
      <c r="N34" s="212">
        <v>12000</v>
      </c>
      <c r="O34" s="213">
        <v>1</v>
      </c>
      <c r="P34" s="214">
        <v>12000</v>
      </c>
      <c r="Q34" s="131"/>
    </row>
    <row r="35" spans="1:17" ht="16" thickBot="1" x14ac:dyDescent="0.25">
      <c r="A35" s="130" t="s">
        <v>334</v>
      </c>
      <c r="B35" s="194"/>
      <c r="C35" s="194"/>
      <c r="D35" s="194"/>
      <c r="E35" s="131"/>
      <c r="F35" s="131"/>
      <c r="G35" s="145"/>
      <c r="H35" s="145"/>
      <c r="I35" s="145"/>
      <c r="J35" s="131"/>
      <c r="K35" s="131"/>
      <c r="L35" s="131"/>
      <c r="M35" s="181" t="s">
        <v>335</v>
      </c>
      <c r="N35" s="212">
        <v>70000</v>
      </c>
      <c r="O35" s="213">
        <v>1.3</v>
      </c>
      <c r="P35" s="214">
        <v>91000</v>
      </c>
      <c r="Q35" s="131"/>
    </row>
    <row r="36" spans="1:17" ht="16" thickBot="1" x14ac:dyDescent="0.25">
      <c r="A36" s="131"/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81" t="s">
        <v>352</v>
      </c>
      <c r="N36" s="212">
        <v>45000</v>
      </c>
      <c r="O36" s="213" t="s">
        <v>353</v>
      </c>
      <c r="P36" s="215"/>
      <c r="Q36" s="131"/>
    </row>
    <row r="37" spans="1:17" ht="16" thickBot="1" x14ac:dyDescent="0.25">
      <c r="A37" s="130" t="s">
        <v>354</v>
      </c>
      <c r="B37" s="130"/>
      <c r="C37" s="130"/>
      <c r="D37" s="130"/>
      <c r="E37" s="145"/>
      <c r="F37" s="145"/>
      <c r="G37" s="131"/>
      <c r="H37" s="145"/>
      <c r="I37" s="145"/>
      <c r="J37" s="145"/>
      <c r="K37" s="145"/>
      <c r="L37" s="145"/>
      <c r="M37" s="219" t="s">
        <v>355</v>
      </c>
      <c r="N37" s="220">
        <v>26000</v>
      </c>
      <c r="O37" s="221" t="s">
        <v>353</v>
      </c>
      <c r="P37" s="222"/>
      <c r="Q37" s="145"/>
    </row>
    <row r="38" spans="1:17" ht="16" thickBot="1" x14ac:dyDescent="0.25">
      <c r="A38" s="199"/>
      <c r="B38" s="130" t="s">
        <v>344</v>
      </c>
      <c r="C38" s="130" t="s">
        <v>345</v>
      </c>
      <c r="D38" s="130" t="s">
        <v>356</v>
      </c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</row>
    <row r="39" spans="1:17" ht="16" thickBot="1" x14ac:dyDescent="0.25">
      <c r="A39" s="130" t="s">
        <v>357</v>
      </c>
      <c r="B39" s="199"/>
      <c r="C39" s="199"/>
      <c r="D39" s="199"/>
      <c r="E39" s="145"/>
      <c r="F39" s="145"/>
      <c r="G39" s="145"/>
      <c r="H39" s="145"/>
      <c r="I39" s="145"/>
      <c r="J39" s="145"/>
      <c r="K39" s="145"/>
      <c r="L39" s="145"/>
      <c r="M39" s="223" t="s">
        <v>358</v>
      </c>
      <c r="N39" s="224" t="s">
        <v>359</v>
      </c>
      <c r="O39" s="224" t="s">
        <v>360</v>
      </c>
      <c r="P39" s="145"/>
      <c r="Q39" s="145"/>
    </row>
    <row r="40" spans="1:17" ht="16" thickBot="1" x14ac:dyDescent="0.25">
      <c r="A40" s="130" t="s">
        <v>361</v>
      </c>
      <c r="B40" s="207">
        <f>D33</f>
        <v>900000</v>
      </c>
      <c r="C40" s="225">
        <f>D34</f>
        <v>2100000</v>
      </c>
      <c r="D40" s="199">
        <f>SUM(B40:C40)</f>
        <v>3000000</v>
      </c>
      <c r="E40" s="145"/>
      <c r="F40" s="145"/>
      <c r="G40" s="145"/>
      <c r="H40" s="145"/>
      <c r="I40" s="145"/>
      <c r="J40" s="145"/>
      <c r="K40" s="145"/>
      <c r="L40" s="145"/>
      <c r="M40" s="226" t="s">
        <v>362</v>
      </c>
      <c r="N40" s="227">
        <v>28000</v>
      </c>
      <c r="O40" s="228">
        <v>5</v>
      </c>
      <c r="P40" s="145">
        <f>N40*O40</f>
        <v>140000</v>
      </c>
      <c r="Q40" s="145"/>
    </row>
    <row r="41" spans="1:17" ht="16" thickBot="1" x14ac:dyDescent="0.25">
      <c r="A41" s="130" t="s">
        <v>363</v>
      </c>
      <c r="B41" s="207">
        <f>D26</f>
        <v>56524.390243902439</v>
      </c>
      <c r="C41" s="225">
        <f>D27</f>
        <v>32658.536585365855</v>
      </c>
      <c r="D41" s="199">
        <f>SUM(B41:C41)</f>
        <v>89182.926829268297</v>
      </c>
      <c r="E41" s="145"/>
      <c r="F41" s="145"/>
      <c r="G41" s="145"/>
      <c r="H41" s="145"/>
      <c r="I41" s="145"/>
      <c r="J41" s="145"/>
      <c r="K41" s="145"/>
      <c r="L41" s="145"/>
      <c r="M41" s="226" t="s">
        <v>292</v>
      </c>
      <c r="N41" s="227">
        <v>32000</v>
      </c>
      <c r="O41" s="228">
        <v>3</v>
      </c>
      <c r="P41" s="145">
        <f>N41*O41</f>
        <v>96000</v>
      </c>
      <c r="Q41" s="145"/>
    </row>
    <row r="42" spans="1:17" ht="43" thickBot="1" x14ac:dyDescent="0.25">
      <c r="A42" s="143" t="s">
        <v>364</v>
      </c>
      <c r="B42" s="229">
        <f>H32</f>
        <v>112672</v>
      </c>
      <c r="C42" s="225">
        <f>I32</f>
        <v>88528</v>
      </c>
      <c r="D42" s="199">
        <f>SUM(B42:C42)</f>
        <v>201200</v>
      </c>
      <c r="E42" s="131"/>
      <c r="F42" s="131"/>
      <c r="G42" s="131"/>
      <c r="H42" s="131"/>
      <c r="I42" s="131"/>
      <c r="J42" s="131"/>
      <c r="K42" s="131"/>
      <c r="L42" s="131"/>
      <c r="M42" s="230" t="s">
        <v>365</v>
      </c>
      <c r="N42" s="231">
        <v>30000</v>
      </c>
      <c r="O42" s="232">
        <v>5</v>
      </c>
      <c r="P42" s="131">
        <f>N42*O42</f>
        <v>150000</v>
      </c>
      <c r="Q42" s="131"/>
    </row>
    <row r="43" spans="1:17" ht="15" x14ac:dyDescent="0.2">
      <c r="A43" s="130" t="s">
        <v>366</v>
      </c>
      <c r="B43" s="229">
        <f>SUM(B40:B42)</f>
        <v>1069196.3902439023</v>
      </c>
      <c r="C43" s="225">
        <f>SUM(C40:C42)</f>
        <v>2221186.5365853659</v>
      </c>
      <c r="D43" s="199">
        <f>SUM(B43:C43)</f>
        <v>3290382.9268292682</v>
      </c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>
        <f>SUM(P40:P42)</f>
        <v>386000</v>
      </c>
      <c r="Q43" s="145"/>
    </row>
    <row r="44" spans="1:17" ht="15" x14ac:dyDescent="0.2">
      <c r="A44" s="130" t="s">
        <v>367</v>
      </c>
      <c r="B44" s="229">
        <f>H33</f>
        <v>140000</v>
      </c>
      <c r="C44" s="225">
        <f>I33</f>
        <v>110000</v>
      </c>
      <c r="D44" s="199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</row>
    <row r="45" spans="1:17" ht="15" x14ac:dyDescent="0.2">
      <c r="A45" s="130" t="s">
        <v>368</v>
      </c>
      <c r="B45" s="233">
        <f>B43/B44</f>
        <v>7.6371170731707307</v>
      </c>
      <c r="C45" s="225">
        <f>C43/C44</f>
        <v>20.19260487804878</v>
      </c>
      <c r="D45" s="199"/>
      <c r="E45" s="145"/>
      <c r="F45" s="145"/>
      <c r="G45" s="145"/>
      <c r="H45" s="145"/>
      <c r="I45" s="145"/>
      <c r="J45" s="145"/>
      <c r="K45" s="145"/>
      <c r="L45" s="145"/>
      <c r="M45" s="234" t="s">
        <v>301</v>
      </c>
      <c r="N45" s="235">
        <v>50000</v>
      </c>
      <c r="O45" s="145" t="s">
        <v>369</v>
      </c>
      <c r="P45" s="145"/>
      <c r="Q45" s="145"/>
    </row>
    <row r="46" spans="1:17" ht="15" x14ac:dyDescent="0.2">
      <c r="A46" s="145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</row>
    <row r="47" spans="1:17" ht="15" x14ac:dyDescent="0.2">
      <c r="A47" s="473" t="s">
        <v>370</v>
      </c>
      <c r="B47" s="474"/>
      <c r="C47" s="474"/>
      <c r="D47" s="475"/>
      <c r="E47" s="473" t="s">
        <v>371</v>
      </c>
      <c r="F47" s="474"/>
      <c r="G47" s="474"/>
      <c r="H47" s="475"/>
      <c r="I47" s="145"/>
      <c r="J47" s="145"/>
      <c r="K47" s="145"/>
      <c r="L47" s="145"/>
      <c r="M47" s="234" t="s">
        <v>308</v>
      </c>
      <c r="N47" s="235">
        <v>48000</v>
      </c>
      <c r="O47" s="145"/>
      <c r="P47" s="145"/>
      <c r="Q47" s="145"/>
    </row>
    <row r="48" spans="1:17" ht="15" x14ac:dyDescent="0.2">
      <c r="A48" s="130"/>
      <c r="B48" s="130" t="s">
        <v>372</v>
      </c>
      <c r="C48" s="130" t="s">
        <v>373</v>
      </c>
      <c r="D48" s="130" t="s">
        <v>4</v>
      </c>
      <c r="E48" s="199"/>
      <c r="F48" s="130" t="s">
        <v>372</v>
      </c>
      <c r="G48" s="130" t="s">
        <v>373</v>
      </c>
      <c r="H48" s="130" t="s">
        <v>4</v>
      </c>
      <c r="I48" s="145"/>
      <c r="J48" s="145"/>
      <c r="K48" s="145"/>
      <c r="L48" s="145"/>
      <c r="M48" s="145" t="s">
        <v>374</v>
      </c>
      <c r="N48" s="236">
        <v>0.3</v>
      </c>
      <c r="O48" s="145"/>
      <c r="P48" s="145"/>
      <c r="Q48" s="145"/>
    </row>
    <row r="49" spans="1:17" ht="15" x14ac:dyDescent="0.2">
      <c r="A49" s="130" t="s">
        <v>375</v>
      </c>
      <c r="B49" s="130">
        <v>12000</v>
      </c>
      <c r="C49" s="130">
        <v>9</v>
      </c>
      <c r="D49" s="130">
        <v>108000</v>
      </c>
      <c r="E49" s="130" t="s">
        <v>375</v>
      </c>
      <c r="F49" s="130">
        <v>0</v>
      </c>
      <c r="G49" s="130">
        <v>0</v>
      </c>
      <c r="H49" s="130">
        <v>0</v>
      </c>
      <c r="I49" s="145"/>
      <c r="J49" s="145"/>
      <c r="K49" s="145"/>
      <c r="L49" s="145"/>
      <c r="M49" s="145" t="s">
        <v>376</v>
      </c>
      <c r="N49" s="236">
        <v>0.4</v>
      </c>
      <c r="O49" s="145"/>
      <c r="P49" s="145"/>
      <c r="Q49" s="145"/>
    </row>
    <row r="50" spans="1:17" ht="15" x14ac:dyDescent="0.2">
      <c r="A50" s="130" t="s">
        <v>377</v>
      </c>
      <c r="B50" s="229">
        <f>B44</f>
        <v>140000</v>
      </c>
      <c r="C50" s="229">
        <f>B45</f>
        <v>7.6371170731707307</v>
      </c>
      <c r="D50" s="229">
        <f>B43</f>
        <v>1069196.3902439023</v>
      </c>
      <c r="E50" s="130" t="s">
        <v>377</v>
      </c>
      <c r="F50" s="225">
        <f>C44</f>
        <v>110000</v>
      </c>
      <c r="G50" s="225">
        <f>C45</f>
        <v>20.19260487804878</v>
      </c>
      <c r="H50" s="225">
        <f>F50*G50</f>
        <v>2221186.5365853659</v>
      </c>
      <c r="I50" s="145"/>
      <c r="J50" s="145"/>
      <c r="K50" s="145"/>
      <c r="L50" s="145"/>
      <c r="M50" s="145" t="s">
        <v>305</v>
      </c>
      <c r="N50" s="236">
        <v>0.1</v>
      </c>
      <c r="O50" s="145"/>
      <c r="P50" s="145"/>
      <c r="Q50" s="145"/>
    </row>
    <row r="51" spans="1:17" ht="15" x14ac:dyDescent="0.2">
      <c r="A51" s="130" t="s">
        <v>378</v>
      </c>
      <c r="B51" s="130">
        <v>135000</v>
      </c>
      <c r="C51" s="237">
        <f>(D49+D50)/(B50+B49)</f>
        <v>7.7447130937098834</v>
      </c>
      <c r="D51" s="229">
        <f>B51*C51</f>
        <v>1045536.2676508343</v>
      </c>
      <c r="E51" s="130" t="s">
        <v>379</v>
      </c>
      <c r="F51" s="130">
        <v>95000</v>
      </c>
      <c r="G51" s="130">
        <f>G50</f>
        <v>20.19260487804878</v>
      </c>
      <c r="H51" s="225">
        <f>F51*G51</f>
        <v>1918297.4634146341</v>
      </c>
      <c r="I51" s="145"/>
      <c r="J51" s="145"/>
      <c r="K51" s="145"/>
      <c r="L51" s="145"/>
      <c r="M51" s="145" t="s">
        <v>369</v>
      </c>
      <c r="N51" s="236">
        <v>0.2</v>
      </c>
      <c r="O51" s="145"/>
      <c r="P51" s="145"/>
      <c r="Q51" s="145"/>
    </row>
    <row r="52" spans="1:17" ht="16" thickBot="1" x14ac:dyDescent="0.25">
      <c r="A52" s="130" t="s">
        <v>380</v>
      </c>
      <c r="B52" s="130">
        <f>B49+B50-B51</f>
        <v>17000</v>
      </c>
      <c r="C52" s="238">
        <f>C51</f>
        <v>7.7447130937098834</v>
      </c>
      <c r="D52" s="130">
        <f>B52*C52</f>
        <v>131660.12259306802</v>
      </c>
      <c r="E52" s="130" t="s">
        <v>380</v>
      </c>
      <c r="F52" s="130">
        <f>F50-F51</f>
        <v>15000</v>
      </c>
      <c r="G52" s="130">
        <f>G50</f>
        <v>20.19260487804878</v>
      </c>
      <c r="H52" s="130">
        <f>F52*G52</f>
        <v>302889.07317073172</v>
      </c>
      <c r="I52" s="145"/>
      <c r="J52" s="145"/>
      <c r="K52" s="145"/>
      <c r="L52" s="145"/>
      <c r="M52" s="145"/>
      <c r="N52" s="145"/>
      <c r="O52" s="145"/>
      <c r="P52" s="145"/>
      <c r="Q52" s="145"/>
    </row>
    <row r="53" spans="1:17" ht="16" thickBot="1" x14ac:dyDescent="0.25">
      <c r="A53" s="131"/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239"/>
      <c r="N53" s="240" t="s">
        <v>381</v>
      </c>
      <c r="O53" s="240" t="s">
        <v>382</v>
      </c>
      <c r="P53" s="131"/>
      <c r="Q53" s="131"/>
    </row>
    <row r="54" spans="1:17" ht="16" thickBot="1" x14ac:dyDescent="0.25">
      <c r="A54" s="131" t="s">
        <v>383</v>
      </c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241" t="s">
        <v>384</v>
      </c>
      <c r="N54" s="242" t="s">
        <v>385</v>
      </c>
      <c r="O54" s="243" t="s">
        <v>386</v>
      </c>
      <c r="P54" s="131"/>
      <c r="Q54" s="131"/>
    </row>
    <row r="55" spans="1:17" ht="16" thickBot="1" x14ac:dyDescent="0.25">
      <c r="A55" s="131" t="s">
        <v>387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</row>
    <row r="56" spans="1:17" ht="16" thickBot="1" x14ac:dyDescent="0.25">
      <c r="A56" s="131"/>
      <c r="B56" s="476" t="s">
        <v>388</v>
      </c>
      <c r="C56" s="477"/>
      <c r="D56" s="478"/>
      <c r="E56" s="476" t="s">
        <v>389</v>
      </c>
      <c r="F56" s="477"/>
      <c r="G56" s="478"/>
      <c r="H56" s="244" t="s">
        <v>390</v>
      </c>
      <c r="I56" s="131"/>
      <c r="J56" s="131"/>
      <c r="K56" s="131"/>
      <c r="L56" s="131"/>
      <c r="M56" s="469" t="s">
        <v>391</v>
      </c>
      <c r="N56" s="470"/>
      <c r="O56" s="470"/>
      <c r="P56" s="471"/>
      <c r="Q56" s="131"/>
    </row>
    <row r="57" spans="1:17" ht="16" thickBot="1" x14ac:dyDescent="0.25">
      <c r="A57" s="131"/>
      <c r="B57" s="187" t="s">
        <v>372</v>
      </c>
      <c r="C57" s="139" t="s">
        <v>373</v>
      </c>
      <c r="D57" s="188" t="s">
        <v>392</v>
      </c>
      <c r="E57" s="187" t="s">
        <v>372</v>
      </c>
      <c r="F57" s="139" t="s">
        <v>373</v>
      </c>
      <c r="G57" s="188" t="s">
        <v>393</v>
      </c>
      <c r="H57" s="245"/>
      <c r="I57" s="131"/>
      <c r="J57" s="131"/>
      <c r="K57" s="131"/>
      <c r="L57" s="131"/>
      <c r="M57" s="241"/>
      <c r="N57" s="246" t="s">
        <v>372</v>
      </c>
      <c r="O57" s="246" t="s">
        <v>373</v>
      </c>
      <c r="P57" s="246" t="s">
        <v>394</v>
      </c>
      <c r="Q57" s="131"/>
    </row>
    <row r="58" spans="1:17" ht="16" thickBot="1" x14ac:dyDescent="0.25">
      <c r="A58" s="131" t="s">
        <v>395</v>
      </c>
      <c r="B58" s="187">
        <v>135000</v>
      </c>
      <c r="C58" s="139">
        <v>12</v>
      </c>
      <c r="D58" s="188">
        <f>B58*C58</f>
        <v>1620000</v>
      </c>
      <c r="E58" s="187">
        <v>95000</v>
      </c>
      <c r="F58" s="139">
        <v>25</v>
      </c>
      <c r="G58" s="188">
        <f>E58*F58</f>
        <v>2375000</v>
      </c>
      <c r="H58" s="245">
        <f>D58+G58</f>
        <v>3995000</v>
      </c>
      <c r="I58" s="131"/>
      <c r="J58" s="131"/>
      <c r="K58" s="131"/>
      <c r="L58" s="131"/>
      <c r="M58" s="241" t="s">
        <v>396</v>
      </c>
      <c r="N58" s="247">
        <v>12000</v>
      </c>
      <c r="O58" s="243">
        <v>9</v>
      </c>
      <c r="P58" s="248">
        <v>108000</v>
      </c>
      <c r="Q58" s="131"/>
    </row>
    <row r="59" spans="1:17" ht="16" thickBot="1" x14ac:dyDescent="0.25">
      <c r="A59" s="131" t="s">
        <v>397</v>
      </c>
      <c r="B59" s="187">
        <f>B58</f>
        <v>135000</v>
      </c>
      <c r="C59" s="139">
        <f>C51</f>
        <v>7.7447130937098834</v>
      </c>
      <c r="D59" s="249">
        <f>-D51</f>
        <v>-1045536.2676508343</v>
      </c>
      <c r="E59" s="187">
        <f>E58</f>
        <v>95000</v>
      </c>
      <c r="F59" s="139">
        <f>G51</f>
        <v>20.19260487804878</v>
      </c>
      <c r="G59" s="250">
        <f>-H51</f>
        <v>-1918297.4634146341</v>
      </c>
      <c r="H59" s="245">
        <f>D59+G59</f>
        <v>-2963833.7310654684</v>
      </c>
      <c r="I59" s="131"/>
      <c r="J59" s="131"/>
      <c r="K59" s="131" t="s">
        <v>398</v>
      </c>
      <c r="L59" s="131"/>
      <c r="M59" s="241" t="s">
        <v>399</v>
      </c>
      <c r="N59" s="247">
        <v>140000</v>
      </c>
      <c r="O59" s="246" t="s">
        <v>400</v>
      </c>
      <c r="P59" s="243"/>
      <c r="Q59" s="131"/>
    </row>
    <row r="60" spans="1:17" ht="16" thickBot="1" x14ac:dyDescent="0.25">
      <c r="A60" s="131" t="s">
        <v>401</v>
      </c>
      <c r="B60" s="187"/>
      <c r="C60" s="139">
        <v>4.2552869062901166</v>
      </c>
      <c r="D60" s="188">
        <f>D58+D59</f>
        <v>574463.73234916572</v>
      </c>
      <c r="E60" s="187"/>
      <c r="F60" s="139">
        <v>4.8073951219512203</v>
      </c>
      <c r="G60" s="188">
        <f>G58+G59</f>
        <v>456702.53658536589</v>
      </c>
      <c r="H60" s="245">
        <f>D60+G60</f>
        <v>1031166.2689345316</v>
      </c>
      <c r="I60" s="131"/>
      <c r="J60" s="131" t="s">
        <v>402</v>
      </c>
      <c r="K60" s="131">
        <f>B59+E59</f>
        <v>230000</v>
      </c>
      <c r="L60" s="131"/>
      <c r="M60" s="241" t="s">
        <v>403</v>
      </c>
      <c r="N60" s="247">
        <v>135000</v>
      </c>
      <c r="O60" s="243" t="s">
        <v>404</v>
      </c>
      <c r="P60" s="243"/>
      <c r="Q60" s="131"/>
    </row>
    <row r="61" spans="1:17" ht="16" thickBot="1" x14ac:dyDescent="0.25">
      <c r="A61" s="131" t="s">
        <v>405</v>
      </c>
      <c r="B61" s="251"/>
      <c r="C61" s="203"/>
      <c r="D61" s="188">
        <f>-K62*B59</f>
        <v>-118095.65217391304</v>
      </c>
      <c r="E61" s="251"/>
      <c r="F61" s="203"/>
      <c r="G61" s="188">
        <f>-K62*E59</f>
        <v>-83104.34782608696</v>
      </c>
      <c r="H61" s="252">
        <f>D61+G61</f>
        <v>-201200</v>
      </c>
      <c r="I61" s="131"/>
      <c r="J61" s="131" t="s">
        <v>406</v>
      </c>
      <c r="K61" s="253">
        <f>D17</f>
        <v>201200</v>
      </c>
      <c r="L61" s="131"/>
      <c r="M61" s="241" t="s">
        <v>334</v>
      </c>
      <c r="N61" s="242" t="s">
        <v>407</v>
      </c>
      <c r="O61" s="243"/>
      <c r="P61" s="243"/>
      <c r="Q61" s="131"/>
    </row>
    <row r="62" spans="1:17" ht="16" thickBot="1" x14ac:dyDescent="0.25">
      <c r="A62" s="131" t="s">
        <v>408</v>
      </c>
      <c r="B62" s="187"/>
      <c r="C62" s="139"/>
      <c r="D62" s="188"/>
      <c r="E62" s="187"/>
      <c r="F62" s="139"/>
      <c r="G62" s="188"/>
      <c r="H62" s="245">
        <v>829966.2689345316</v>
      </c>
      <c r="I62" s="131"/>
      <c r="J62" s="131" t="s">
        <v>409</v>
      </c>
      <c r="K62" s="254">
        <f>K61/K60</f>
        <v>0.87478260869565216</v>
      </c>
      <c r="L62" s="131"/>
      <c r="M62" s="255"/>
      <c r="N62" s="147"/>
      <c r="O62" s="147"/>
      <c r="P62" s="147"/>
      <c r="Q62" s="131"/>
    </row>
    <row r="63" spans="1:17" ht="16" thickBot="1" x14ac:dyDescent="0.25">
      <c r="A63" s="131" t="s">
        <v>410</v>
      </c>
      <c r="B63" s="187"/>
      <c r="C63" s="139"/>
      <c r="D63" s="188"/>
      <c r="E63" s="187"/>
      <c r="F63" s="139"/>
      <c r="G63" s="188"/>
      <c r="H63" s="256">
        <f>-E17</f>
        <v>-211200</v>
      </c>
      <c r="I63" s="131"/>
      <c r="J63" s="131"/>
      <c r="K63" s="131"/>
      <c r="L63" s="131"/>
      <c r="M63" s="469" t="s">
        <v>411</v>
      </c>
      <c r="N63" s="470"/>
      <c r="O63" s="470"/>
      <c r="P63" s="471"/>
      <c r="Q63" s="131"/>
    </row>
    <row r="64" spans="1:17" ht="16" thickBot="1" x14ac:dyDescent="0.25">
      <c r="A64" s="131" t="s">
        <v>412</v>
      </c>
      <c r="B64" s="187"/>
      <c r="C64" s="139"/>
      <c r="D64" s="188"/>
      <c r="E64" s="187"/>
      <c r="F64" s="139"/>
      <c r="G64" s="188"/>
      <c r="H64" s="245">
        <v>618766.2689345316</v>
      </c>
      <c r="I64" s="131"/>
      <c r="J64" s="131"/>
      <c r="K64" s="131"/>
      <c r="L64" s="131"/>
      <c r="M64" s="257"/>
      <c r="N64" s="246" t="s">
        <v>372</v>
      </c>
      <c r="O64" s="246" t="s">
        <v>373</v>
      </c>
      <c r="P64" s="246" t="s">
        <v>394</v>
      </c>
      <c r="Q64" s="131"/>
    </row>
    <row r="65" spans="1:17" ht="16" thickBot="1" x14ac:dyDescent="0.25">
      <c r="A65" s="131" t="s">
        <v>413</v>
      </c>
      <c r="B65" s="187"/>
      <c r="C65" s="139"/>
      <c r="D65" s="188"/>
      <c r="E65" s="187"/>
      <c r="F65" s="139"/>
      <c r="G65" s="188"/>
      <c r="H65" s="258">
        <f>-F17</f>
        <v>-14400</v>
      </c>
      <c r="I65" s="131"/>
      <c r="J65" s="131"/>
      <c r="K65" s="131"/>
      <c r="L65" s="131"/>
      <c r="M65" s="241" t="s">
        <v>414</v>
      </c>
      <c r="N65" s="247">
        <v>110000</v>
      </c>
      <c r="O65" s="242" t="s">
        <v>407</v>
      </c>
      <c r="P65" s="259"/>
      <c r="Q65" s="131"/>
    </row>
    <row r="66" spans="1:17" ht="16" thickBot="1" x14ac:dyDescent="0.25">
      <c r="A66" s="131" t="s">
        <v>415</v>
      </c>
      <c r="B66" s="187"/>
      <c r="C66" s="139"/>
      <c r="D66" s="188"/>
      <c r="E66" s="187"/>
      <c r="F66" s="139"/>
      <c r="G66" s="188"/>
      <c r="H66" s="245">
        <v>604366.2689345316</v>
      </c>
      <c r="I66" s="131"/>
      <c r="J66" s="131"/>
      <c r="K66" s="131"/>
      <c r="L66" s="131"/>
      <c r="M66" s="241" t="s">
        <v>416</v>
      </c>
      <c r="N66" s="247">
        <v>95000</v>
      </c>
      <c r="O66" s="242" t="s">
        <v>404</v>
      </c>
      <c r="P66" s="259"/>
      <c r="Q66" s="131"/>
    </row>
    <row r="67" spans="1:17" ht="16" thickBot="1" x14ac:dyDescent="0.25">
      <c r="A67" s="131" t="s">
        <v>417</v>
      </c>
      <c r="B67" s="187"/>
      <c r="C67" s="139"/>
      <c r="D67" s="188"/>
      <c r="E67" s="187"/>
      <c r="F67" s="139"/>
      <c r="G67" s="188"/>
      <c r="H67" s="245">
        <v>-3500</v>
      </c>
      <c r="I67" s="131"/>
      <c r="J67" s="131"/>
      <c r="K67" s="131"/>
      <c r="L67" s="131"/>
      <c r="M67" s="241" t="s">
        <v>334</v>
      </c>
      <c r="N67" s="242" t="s">
        <v>404</v>
      </c>
      <c r="O67" s="242" t="s">
        <v>404</v>
      </c>
      <c r="P67" s="259"/>
      <c r="Q67" s="131"/>
    </row>
    <row r="68" spans="1:17" ht="15" x14ac:dyDescent="0.2">
      <c r="A68" s="131" t="s">
        <v>418</v>
      </c>
      <c r="B68" s="187"/>
      <c r="C68" s="139"/>
      <c r="D68" s="188"/>
      <c r="E68" s="187"/>
      <c r="F68" s="139"/>
      <c r="G68" s="188"/>
      <c r="H68" s="245">
        <v>600866.2689345316</v>
      </c>
      <c r="I68" s="131"/>
      <c r="J68" s="131"/>
      <c r="K68" s="131"/>
      <c r="L68" s="131"/>
      <c r="M68" s="131"/>
      <c r="N68" s="131"/>
      <c r="O68" s="131"/>
      <c r="P68" s="131"/>
      <c r="Q68" s="131"/>
    </row>
    <row r="69" spans="1:17" ht="16" thickBot="1" x14ac:dyDescent="0.25">
      <c r="A69" s="131" t="s">
        <v>419</v>
      </c>
      <c r="B69" s="200"/>
      <c r="C69" s="201">
        <v>0.35460724219084305</v>
      </c>
      <c r="D69" s="202">
        <v>0.35460724219084305</v>
      </c>
      <c r="E69" s="200"/>
      <c r="F69" s="201">
        <v>0.19229580487804881</v>
      </c>
      <c r="G69" s="202">
        <v>0.19229580487804879</v>
      </c>
      <c r="H69" s="260">
        <v>0.25811420999612805</v>
      </c>
      <c r="I69" s="131"/>
      <c r="J69" s="131"/>
      <c r="K69" s="131"/>
      <c r="L69" s="131"/>
      <c r="M69" s="131"/>
      <c r="N69" s="131"/>
      <c r="O69" s="131"/>
      <c r="P69" s="131"/>
      <c r="Q69" s="131"/>
    </row>
    <row r="70" spans="1:17" ht="15" x14ac:dyDescent="0.2">
      <c r="A70" s="145"/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L70" s="145"/>
      <c r="M70" s="145"/>
      <c r="N70" s="145"/>
      <c r="O70" s="145"/>
      <c r="P70" s="145"/>
      <c r="Q70" s="145"/>
    </row>
    <row r="71" spans="1:17" ht="15" x14ac:dyDescent="0.2">
      <c r="A71" s="145"/>
      <c r="B71" s="145"/>
      <c r="C71" s="145"/>
      <c r="D71" s="145"/>
      <c r="E71" s="145"/>
      <c r="F71" s="145"/>
      <c r="G71" s="145"/>
      <c r="H71" s="145"/>
      <c r="I71" s="145"/>
      <c r="J71" s="145"/>
      <c r="K71" s="145"/>
      <c r="L71" s="145"/>
      <c r="M71" s="145"/>
      <c r="N71" s="145"/>
      <c r="O71" s="145"/>
      <c r="P71" s="145"/>
      <c r="Q71" s="145"/>
    </row>
    <row r="72" spans="1:17" ht="15" x14ac:dyDescent="0.2">
      <c r="A72" s="145"/>
      <c r="B72" s="145"/>
      <c r="C72" s="145"/>
      <c r="D72" s="145"/>
      <c r="E72" s="145"/>
      <c r="F72" s="145"/>
      <c r="G72" s="145"/>
      <c r="H72" s="145"/>
      <c r="I72" s="145"/>
      <c r="J72" s="145"/>
      <c r="K72" s="145"/>
      <c r="L72" s="145"/>
      <c r="M72" s="145"/>
      <c r="N72" s="145"/>
      <c r="O72" s="145"/>
      <c r="P72" s="145"/>
      <c r="Q72" s="145"/>
    </row>
    <row r="73" spans="1:17" ht="15" x14ac:dyDescent="0.2">
      <c r="A73" s="145"/>
      <c r="B73" s="145"/>
      <c r="C73" s="145"/>
      <c r="D73" s="145"/>
      <c r="E73" s="145"/>
      <c r="F73" s="145"/>
      <c r="G73" s="145"/>
      <c r="H73" s="145"/>
      <c r="I73" s="145"/>
      <c r="J73" s="145"/>
      <c r="K73" s="145"/>
      <c r="L73" s="145"/>
      <c r="M73" s="145"/>
      <c r="N73" s="145"/>
      <c r="O73" s="145"/>
      <c r="P73" s="145"/>
      <c r="Q73" s="145"/>
    </row>
    <row r="74" spans="1:17" ht="15" x14ac:dyDescent="0.2">
      <c r="A74" s="145"/>
      <c r="B74" s="145"/>
      <c r="C74" s="145"/>
      <c r="D74" s="145"/>
      <c r="E74" s="145"/>
      <c r="F74" s="145"/>
      <c r="G74" s="145"/>
      <c r="H74" s="145"/>
      <c r="I74" s="145"/>
      <c r="J74" s="145"/>
      <c r="K74" s="145"/>
      <c r="L74" s="145"/>
      <c r="M74" s="145"/>
      <c r="N74" s="145"/>
      <c r="O74" s="145"/>
      <c r="P74" s="145"/>
      <c r="Q74" s="145"/>
    </row>
    <row r="75" spans="1:17" ht="15" x14ac:dyDescent="0.2">
      <c r="A75" s="145"/>
      <c r="B75" s="145"/>
      <c r="C75" s="145"/>
      <c r="D75" s="145"/>
      <c r="E75" s="145"/>
      <c r="F75" s="145"/>
      <c r="G75" s="145"/>
      <c r="H75" s="145"/>
      <c r="I75" s="145"/>
      <c r="J75" s="145"/>
      <c r="K75" s="145"/>
      <c r="L75" s="145"/>
      <c r="M75" s="145"/>
      <c r="N75" s="145"/>
      <c r="O75" s="145"/>
      <c r="P75" s="145"/>
      <c r="Q75" s="145"/>
    </row>
    <row r="76" spans="1:17" ht="15" x14ac:dyDescent="0.2">
      <c r="A76" s="145"/>
      <c r="B76" s="145"/>
      <c r="C76" s="145"/>
      <c r="D76" s="145"/>
      <c r="E76" s="145"/>
      <c r="F76" s="145"/>
      <c r="G76" s="145"/>
      <c r="H76" s="145"/>
      <c r="I76" s="145"/>
      <c r="J76" s="145"/>
      <c r="K76" s="145"/>
      <c r="L76" s="145"/>
      <c r="M76" s="145"/>
      <c r="N76" s="145"/>
      <c r="O76" s="145"/>
      <c r="P76" s="145"/>
      <c r="Q76" s="145"/>
    </row>
    <row r="77" spans="1:17" ht="15" x14ac:dyDescent="0.2">
      <c r="A77" s="145"/>
      <c r="B77" s="145"/>
      <c r="C77" s="145"/>
      <c r="D77" s="145"/>
      <c r="E77" s="145"/>
      <c r="F77" s="145"/>
      <c r="G77" s="145"/>
      <c r="H77" s="145"/>
      <c r="I77" s="145"/>
      <c r="J77" s="145"/>
      <c r="K77" s="145"/>
      <c r="L77" s="145"/>
      <c r="M77" s="145"/>
      <c r="N77" s="145"/>
      <c r="O77" s="145"/>
      <c r="P77" s="145"/>
      <c r="Q77" s="145"/>
    </row>
    <row r="78" spans="1:17" ht="15" x14ac:dyDescent="0.2">
      <c r="A78" s="145"/>
      <c r="B78" s="145"/>
      <c r="C78" s="145"/>
      <c r="D78" s="145"/>
      <c r="E78" s="145"/>
      <c r="F78" s="145"/>
      <c r="G78" s="145"/>
      <c r="H78" s="145"/>
      <c r="I78" s="145"/>
      <c r="J78" s="145"/>
      <c r="K78" s="145"/>
      <c r="L78" s="145"/>
      <c r="M78" s="145"/>
      <c r="N78" s="145"/>
      <c r="O78" s="145"/>
      <c r="P78" s="145"/>
      <c r="Q78" s="145"/>
    </row>
    <row r="79" spans="1:17" ht="15" x14ac:dyDescent="0.2">
      <c r="A79" s="145"/>
      <c r="B79" s="145"/>
      <c r="C79" s="145"/>
      <c r="D79" s="145"/>
      <c r="E79" s="145"/>
      <c r="F79" s="145"/>
      <c r="G79" s="145"/>
      <c r="H79" s="145"/>
      <c r="I79" s="145"/>
      <c r="J79" s="145"/>
      <c r="K79" s="145"/>
      <c r="L79" s="145"/>
      <c r="M79" s="145"/>
      <c r="N79" s="145"/>
      <c r="O79" s="145"/>
      <c r="P79" s="145"/>
      <c r="Q79" s="145"/>
    </row>
    <row r="80" spans="1:17" ht="15" x14ac:dyDescent="0.2">
      <c r="A80" s="145"/>
      <c r="B80" s="145"/>
      <c r="C80" s="145"/>
      <c r="D80" s="145"/>
      <c r="E80" s="145"/>
      <c r="F80" s="145"/>
      <c r="G80" s="145"/>
      <c r="H80" s="145"/>
      <c r="I80" s="145"/>
      <c r="J80" s="145"/>
      <c r="K80" s="145"/>
      <c r="L80" s="145"/>
      <c r="M80" s="145"/>
      <c r="N80" s="145"/>
      <c r="O80" s="145"/>
      <c r="P80" s="145"/>
      <c r="Q80" s="145"/>
    </row>
    <row r="81" spans="1:17" ht="15" x14ac:dyDescent="0.2">
      <c r="A81" s="145"/>
      <c r="B81" s="145"/>
      <c r="C81" s="145"/>
      <c r="D81" s="145"/>
      <c r="E81" s="145"/>
      <c r="F81" s="145"/>
      <c r="G81" s="145"/>
      <c r="H81" s="145"/>
      <c r="I81" s="145"/>
      <c r="J81" s="145"/>
      <c r="K81" s="145"/>
      <c r="L81" s="145"/>
      <c r="M81" s="145"/>
      <c r="N81" s="145"/>
      <c r="O81" s="145"/>
      <c r="P81" s="145"/>
      <c r="Q81" s="145"/>
    </row>
    <row r="82" spans="1:17" ht="15" x14ac:dyDescent="0.2">
      <c r="A82" s="145"/>
      <c r="B82" s="145"/>
      <c r="C82" s="145"/>
      <c r="D82" s="145"/>
      <c r="E82" s="145"/>
      <c r="F82" s="145"/>
      <c r="G82" s="145"/>
      <c r="H82" s="145"/>
      <c r="I82" s="145"/>
      <c r="J82" s="145"/>
      <c r="K82" s="145"/>
      <c r="L82" s="145"/>
      <c r="M82" s="145"/>
      <c r="N82" s="145"/>
      <c r="O82" s="145"/>
      <c r="P82" s="145"/>
      <c r="Q82" s="145"/>
    </row>
    <row r="83" spans="1:17" ht="15" x14ac:dyDescent="0.2">
      <c r="A83" s="145"/>
      <c r="B83" s="145"/>
      <c r="C83" s="145"/>
      <c r="D83" s="145"/>
      <c r="E83" s="145"/>
      <c r="F83" s="145"/>
      <c r="G83" s="145"/>
      <c r="H83" s="145"/>
      <c r="I83" s="145"/>
      <c r="J83" s="145"/>
      <c r="K83" s="145"/>
      <c r="L83" s="145"/>
      <c r="M83" s="145"/>
      <c r="N83" s="145"/>
      <c r="O83" s="145"/>
      <c r="P83" s="145"/>
      <c r="Q83" s="145"/>
    </row>
    <row r="84" spans="1:17" ht="15" x14ac:dyDescent="0.2">
      <c r="A84" s="145"/>
      <c r="B84" s="145"/>
      <c r="C84" s="145"/>
      <c r="D84" s="145"/>
      <c r="E84" s="145"/>
      <c r="F84" s="145"/>
      <c r="G84" s="145"/>
      <c r="H84" s="145"/>
      <c r="I84" s="145"/>
      <c r="J84" s="145"/>
      <c r="K84" s="145"/>
      <c r="L84" s="145"/>
      <c r="M84" s="145"/>
      <c r="N84" s="145"/>
      <c r="O84" s="145"/>
      <c r="P84" s="145"/>
      <c r="Q84" s="145"/>
    </row>
    <row r="85" spans="1:17" ht="15" x14ac:dyDescent="0.2">
      <c r="A85" s="145"/>
      <c r="B85" s="145"/>
      <c r="C85" s="145"/>
      <c r="D85" s="145"/>
      <c r="E85" s="145"/>
      <c r="F85" s="145"/>
      <c r="G85" s="145"/>
      <c r="H85" s="145"/>
      <c r="I85" s="145"/>
      <c r="J85" s="145"/>
      <c r="K85" s="145"/>
      <c r="L85" s="145"/>
      <c r="M85" s="145"/>
      <c r="N85" s="145"/>
      <c r="O85" s="145"/>
      <c r="P85" s="145"/>
      <c r="Q85" s="145"/>
    </row>
    <row r="86" spans="1:17" ht="15" x14ac:dyDescent="0.2">
      <c r="A86" s="145"/>
      <c r="B86" s="145"/>
      <c r="C86" s="145"/>
      <c r="D86" s="145"/>
      <c r="E86" s="145"/>
      <c r="F86" s="145"/>
      <c r="G86" s="145"/>
      <c r="H86" s="145"/>
      <c r="I86" s="145"/>
      <c r="J86" s="145"/>
      <c r="K86" s="145"/>
      <c r="L86" s="145"/>
      <c r="M86" s="145"/>
      <c r="N86" s="145"/>
      <c r="O86" s="145"/>
      <c r="P86" s="145"/>
      <c r="Q86" s="145"/>
    </row>
    <row r="87" spans="1:17" ht="15" x14ac:dyDescent="0.2">
      <c r="A87" s="145"/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145"/>
      <c r="P87" s="145"/>
      <c r="Q87" s="145"/>
    </row>
    <row r="88" spans="1:17" ht="15" x14ac:dyDescent="0.2">
      <c r="A88" s="145"/>
      <c r="B88" s="145"/>
      <c r="C88" s="145"/>
      <c r="D88" s="145"/>
      <c r="E88" s="145"/>
      <c r="F88" s="145"/>
      <c r="G88" s="145"/>
      <c r="H88" s="145"/>
      <c r="I88" s="145"/>
      <c r="J88" s="145"/>
      <c r="K88" s="145"/>
      <c r="L88" s="145"/>
      <c r="M88" s="145"/>
      <c r="N88" s="145"/>
      <c r="O88" s="145"/>
      <c r="P88" s="145"/>
      <c r="Q88" s="145"/>
    </row>
    <row r="89" spans="1:17" ht="15" x14ac:dyDescent="0.2">
      <c r="A89" s="145"/>
      <c r="B89" s="145"/>
      <c r="C89" s="145"/>
      <c r="D89" s="145"/>
      <c r="E89" s="145"/>
      <c r="F89" s="145"/>
      <c r="G89" s="145"/>
      <c r="H89" s="145"/>
      <c r="I89" s="145"/>
      <c r="J89" s="145"/>
      <c r="K89" s="145"/>
      <c r="L89" s="145"/>
      <c r="M89" s="145"/>
      <c r="N89" s="145"/>
      <c r="O89" s="145"/>
      <c r="P89" s="145"/>
      <c r="Q89" s="145"/>
    </row>
    <row r="90" spans="1:17" ht="15" x14ac:dyDescent="0.2">
      <c r="A90" s="145"/>
      <c r="B90" s="145"/>
      <c r="C90" s="145"/>
      <c r="D90" s="145"/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145"/>
      <c r="Q90" s="145"/>
    </row>
    <row r="91" spans="1:17" ht="15" x14ac:dyDescent="0.2">
      <c r="A91" s="145"/>
      <c r="B91" s="145"/>
      <c r="C91" s="145"/>
      <c r="D91" s="145"/>
      <c r="E91" s="145"/>
      <c r="F91" s="145"/>
      <c r="G91" s="145"/>
      <c r="H91" s="145"/>
      <c r="I91" s="145"/>
      <c r="J91" s="145"/>
      <c r="K91" s="145"/>
      <c r="L91" s="145"/>
      <c r="M91" s="145"/>
      <c r="N91" s="145"/>
      <c r="O91" s="145"/>
      <c r="P91" s="145"/>
      <c r="Q91" s="145"/>
    </row>
    <row r="92" spans="1:17" ht="15" x14ac:dyDescent="0.2">
      <c r="A92" s="145"/>
      <c r="B92" s="145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</row>
    <row r="93" spans="1:17" ht="15" x14ac:dyDescent="0.2">
      <c r="A93" s="145"/>
      <c r="B93" s="145"/>
      <c r="C93" s="145"/>
      <c r="D93" s="145"/>
      <c r="E93" s="145"/>
      <c r="F93" s="145"/>
      <c r="G93" s="145"/>
      <c r="H93" s="145"/>
      <c r="I93" s="145"/>
      <c r="J93" s="145"/>
      <c r="K93" s="145"/>
      <c r="L93" s="145"/>
      <c r="M93" s="145"/>
      <c r="N93" s="145"/>
      <c r="O93" s="145"/>
      <c r="P93" s="145"/>
      <c r="Q93" s="145"/>
    </row>
    <row r="94" spans="1:17" ht="15" x14ac:dyDescent="0.2">
      <c r="A94" s="145"/>
      <c r="B94" s="145"/>
      <c r="C94" s="145"/>
      <c r="D94" s="145"/>
      <c r="E94" s="145"/>
      <c r="F94" s="145"/>
      <c r="G94" s="145"/>
      <c r="H94" s="145"/>
      <c r="I94" s="145"/>
      <c r="J94" s="145"/>
      <c r="K94" s="145"/>
      <c r="L94" s="145"/>
      <c r="M94" s="145"/>
      <c r="N94" s="145"/>
      <c r="O94" s="145"/>
      <c r="P94" s="145"/>
      <c r="Q94" s="145"/>
    </row>
    <row r="95" spans="1:17" ht="15" x14ac:dyDescent="0.2">
      <c r="A95" s="145"/>
      <c r="B95" s="145"/>
      <c r="C95" s="145"/>
      <c r="D95" s="145"/>
      <c r="E95" s="145"/>
      <c r="F95" s="145"/>
      <c r="G95" s="145"/>
      <c r="H95" s="145"/>
      <c r="I95" s="145"/>
      <c r="J95" s="145"/>
      <c r="K95" s="145"/>
      <c r="L95" s="145"/>
      <c r="M95" s="145"/>
      <c r="N95" s="145"/>
      <c r="O95" s="145"/>
      <c r="P95" s="145"/>
      <c r="Q95" s="145"/>
    </row>
    <row r="96" spans="1:17" ht="15" x14ac:dyDescent="0.2">
      <c r="A96" s="145"/>
      <c r="B96" s="145"/>
      <c r="C96" s="145"/>
      <c r="D96" s="145"/>
      <c r="E96" s="145"/>
      <c r="F96" s="145"/>
      <c r="G96" s="145"/>
      <c r="H96" s="145"/>
      <c r="I96" s="145"/>
      <c r="J96" s="145"/>
      <c r="K96" s="145"/>
      <c r="L96" s="145"/>
      <c r="M96" s="145"/>
      <c r="N96" s="145"/>
      <c r="O96" s="145"/>
      <c r="P96" s="145"/>
      <c r="Q96" s="145"/>
    </row>
    <row r="97" spans="1:17" ht="15" x14ac:dyDescent="0.2">
      <c r="A97" s="145"/>
      <c r="B97" s="145"/>
      <c r="C97" s="145"/>
      <c r="D97" s="145"/>
      <c r="E97" s="145"/>
      <c r="F97" s="145"/>
      <c r="G97" s="145"/>
      <c r="H97" s="145"/>
      <c r="I97" s="145"/>
      <c r="J97" s="145"/>
      <c r="K97" s="145"/>
      <c r="L97" s="145"/>
      <c r="M97" s="145"/>
      <c r="N97" s="145"/>
      <c r="O97" s="145"/>
      <c r="P97" s="145"/>
      <c r="Q97" s="145"/>
    </row>
    <row r="98" spans="1:17" ht="15" x14ac:dyDescent="0.2">
      <c r="A98" s="145"/>
      <c r="B98" s="145"/>
      <c r="C98" s="145"/>
      <c r="D98" s="145"/>
      <c r="E98" s="145"/>
      <c r="F98" s="145"/>
      <c r="G98" s="145"/>
      <c r="H98" s="145"/>
      <c r="I98" s="145"/>
      <c r="J98" s="145"/>
      <c r="K98" s="145"/>
      <c r="L98" s="145"/>
      <c r="M98" s="145"/>
      <c r="N98" s="145"/>
      <c r="O98" s="145"/>
      <c r="P98" s="145"/>
      <c r="Q98" s="145"/>
    </row>
    <row r="99" spans="1:17" ht="15" x14ac:dyDescent="0.2">
      <c r="A99" s="145"/>
      <c r="B99" s="145"/>
      <c r="C99" s="145"/>
      <c r="D99" s="145"/>
      <c r="E99" s="145"/>
      <c r="F99" s="145"/>
      <c r="G99" s="145"/>
      <c r="H99" s="145"/>
      <c r="I99" s="145"/>
      <c r="J99" s="145"/>
      <c r="K99" s="145"/>
      <c r="L99" s="145"/>
      <c r="M99" s="145"/>
      <c r="N99" s="145"/>
      <c r="O99" s="145"/>
      <c r="P99" s="145"/>
      <c r="Q99" s="145"/>
    </row>
    <row r="100" spans="1:17" ht="15" x14ac:dyDescent="0.2">
      <c r="A100" s="145"/>
      <c r="B100" s="145"/>
      <c r="C100" s="145"/>
      <c r="D100" s="145"/>
      <c r="E100" s="145"/>
      <c r="F100" s="145"/>
      <c r="G100" s="145"/>
      <c r="H100" s="145"/>
      <c r="I100" s="145"/>
      <c r="J100" s="145"/>
      <c r="K100" s="145"/>
      <c r="L100" s="145"/>
      <c r="M100" s="145"/>
      <c r="N100" s="145"/>
      <c r="O100" s="145"/>
      <c r="P100" s="145"/>
      <c r="Q100" s="145"/>
    </row>
    <row r="101" spans="1:17" ht="15" x14ac:dyDescent="0.2">
      <c r="A101" s="145"/>
      <c r="B101" s="145"/>
      <c r="C101" s="145"/>
      <c r="D101" s="145"/>
      <c r="E101" s="145"/>
      <c r="F101" s="145"/>
      <c r="G101" s="145"/>
      <c r="H101" s="145"/>
      <c r="I101" s="145"/>
      <c r="J101" s="145"/>
      <c r="K101" s="145"/>
      <c r="L101" s="145"/>
      <c r="M101" s="145"/>
      <c r="N101" s="145"/>
      <c r="O101" s="145"/>
      <c r="P101" s="145"/>
      <c r="Q101" s="145"/>
    </row>
    <row r="102" spans="1:17" ht="15" x14ac:dyDescent="0.2">
      <c r="A102" s="145"/>
      <c r="B102" s="145"/>
      <c r="C102" s="145"/>
      <c r="D102" s="145"/>
      <c r="E102" s="145"/>
      <c r="F102" s="145"/>
      <c r="G102" s="145"/>
      <c r="H102" s="145"/>
      <c r="I102" s="145"/>
      <c r="J102" s="145"/>
      <c r="K102" s="145"/>
      <c r="L102" s="145"/>
      <c r="M102" s="145"/>
      <c r="N102" s="145"/>
      <c r="O102" s="145"/>
      <c r="P102" s="145"/>
      <c r="Q102" s="145"/>
    </row>
    <row r="103" spans="1:17" ht="15" x14ac:dyDescent="0.2">
      <c r="A103" s="145"/>
      <c r="B103" s="145"/>
      <c r="C103" s="145"/>
      <c r="D103" s="145"/>
      <c r="E103" s="145"/>
      <c r="F103" s="145"/>
      <c r="G103" s="145"/>
      <c r="H103" s="145"/>
      <c r="I103" s="145"/>
      <c r="J103" s="145"/>
      <c r="K103" s="145"/>
      <c r="L103" s="145"/>
      <c r="M103" s="145"/>
      <c r="N103" s="145"/>
      <c r="O103" s="145"/>
      <c r="P103" s="145"/>
      <c r="Q103" s="145"/>
    </row>
    <row r="104" spans="1:17" ht="15" x14ac:dyDescent="0.2">
      <c r="A104" s="145"/>
      <c r="B104" s="145"/>
      <c r="C104" s="145"/>
      <c r="D104" s="145"/>
      <c r="E104" s="145"/>
      <c r="F104" s="145"/>
      <c r="G104" s="145"/>
      <c r="H104" s="145"/>
      <c r="I104" s="145"/>
      <c r="J104" s="145"/>
      <c r="K104" s="145"/>
      <c r="L104" s="145"/>
      <c r="M104" s="145"/>
      <c r="N104" s="145"/>
      <c r="O104" s="145"/>
      <c r="P104" s="145"/>
      <c r="Q104" s="145"/>
    </row>
    <row r="105" spans="1:17" ht="15" x14ac:dyDescent="0.2">
      <c r="A105" s="145"/>
      <c r="B105" s="145"/>
      <c r="C105" s="145"/>
      <c r="D105" s="145"/>
      <c r="E105" s="145"/>
      <c r="F105" s="145"/>
      <c r="G105" s="145"/>
      <c r="H105" s="145"/>
      <c r="I105" s="145"/>
      <c r="J105" s="145"/>
      <c r="K105" s="145"/>
      <c r="L105" s="145"/>
      <c r="M105" s="145"/>
      <c r="N105" s="145"/>
      <c r="O105" s="145"/>
      <c r="P105" s="145"/>
      <c r="Q105" s="145"/>
    </row>
    <row r="106" spans="1:17" ht="15" x14ac:dyDescent="0.2">
      <c r="A106" s="145"/>
      <c r="B106" s="145"/>
      <c r="C106" s="145"/>
      <c r="D106" s="145"/>
      <c r="E106" s="145"/>
      <c r="F106" s="145"/>
      <c r="G106" s="145"/>
      <c r="H106" s="145"/>
      <c r="I106" s="145"/>
      <c r="J106" s="145"/>
      <c r="K106" s="145"/>
      <c r="L106" s="145"/>
      <c r="M106" s="145"/>
      <c r="N106" s="145"/>
      <c r="O106" s="145"/>
      <c r="P106" s="145"/>
      <c r="Q106" s="145"/>
    </row>
    <row r="107" spans="1:17" ht="15" x14ac:dyDescent="0.2">
      <c r="A107" s="145"/>
      <c r="B107" s="145"/>
      <c r="C107" s="145"/>
      <c r="D107" s="145"/>
      <c r="E107" s="145"/>
      <c r="F107" s="145"/>
      <c r="G107" s="145"/>
      <c r="H107" s="145"/>
      <c r="I107" s="145"/>
      <c r="J107" s="145"/>
      <c r="K107" s="145"/>
      <c r="L107" s="145"/>
      <c r="M107" s="145"/>
      <c r="N107" s="145"/>
      <c r="O107" s="145"/>
      <c r="P107" s="145"/>
      <c r="Q107" s="145"/>
    </row>
    <row r="108" spans="1:17" ht="15" x14ac:dyDescent="0.2">
      <c r="A108" s="145"/>
      <c r="B108" s="145"/>
      <c r="C108" s="145"/>
      <c r="D108" s="145"/>
      <c r="E108" s="145"/>
      <c r="F108" s="145"/>
      <c r="G108" s="145"/>
      <c r="H108" s="145"/>
      <c r="I108" s="145"/>
      <c r="J108" s="145"/>
      <c r="K108" s="145"/>
      <c r="L108" s="145"/>
      <c r="M108" s="145"/>
      <c r="N108" s="145"/>
      <c r="O108" s="145"/>
      <c r="P108" s="145"/>
      <c r="Q108" s="145"/>
    </row>
    <row r="109" spans="1:17" ht="15" x14ac:dyDescent="0.2">
      <c r="A109" s="145"/>
      <c r="B109" s="145"/>
      <c r="C109" s="145"/>
      <c r="D109" s="145"/>
      <c r="E109" s="145"/>
      <c r="F109" s="145"/>
      <c r="G109" s="145"/>
      <c r="H109" s="145"/>
      <c r="I109" s="145"/>
      <c r="J109" s="145"/>
      <c r="K109" s="145"/>
      <c r="L109" s="145"/>
      <c r="M109" s="145"/>
      <c r="N109" s="145"/>
      <c r="O109" s="145"/>
      <c r="P109" s="145"/>
      <c r="Q109" s="145"/>
    </row>
    <row r="110" spans="1:17" ht="15" x14ac:dyDescent="0.2">
      <c r="A110" s="145"/>
      <c r="B110" s="145"/>
      <c r="C110" s="145"/>
      <c r="D110" s="145"/>
      <c r="E110" s="145"/>
      <c r="F110" s="145"/>
      <c r="G110" s="145"/>
      <c r="H110" s="145"/>
      <c r="I110" s="145"/>
      <c r="J110" s="145"/>
      <c r="K110" s="145"/>
      <c r="L110" s="145"/>
      <c r="M110" s="145"/>
      <c r="N110" s="145"/>
      <c r="O110" s="145"/>
      <c r="P110" s="145"/>
      <c r="Q110" s="145"/>
    </row>
    <row r="111" spans="1:17" ht="15" x14ac:dyDescent="0.2">
      <c r="A111" s="145"/>
      <c r="B111" s="145"/>
      <c r="C111" s="145"/>
      <c r="D111" s="145"/>
      <c r="E111" s="145"/>
      <c r="F111" s="145"/>
      <c r="G111" s="145"/>
      <c r="H111" s="145"/>
      <c r="I111" s="145"/>
      <c r="J111" s="145"/>
      <c r="K111" s="145"/>
      <c r="L111" s="145"/>
      <c r="M111" s="145"/>
      <c r="N111" s="145"/>
      <c r="O111" s="145"/>
      <c r="P111" s="145"/>
      <c r="Q111" s="145"/>
    </row>
    <row r="112" spans="1:17" ht="15" x14ac:dyDescent="0.2">
      <c r="A112" s="145"/>
      <c r="B112" s="145"/>
      <c r="C112" s="145"/>
      <c r="D112" s="145"/>
      <c r="E112" s="145"/>
      <c r="F112" s="145"/>
      <c r="G112" s="145"/>
      <c r="H112" s="145"/>
      <c r="I112" s="145"/>
      <c r="J112" s="145"/>
      <c r="K112" s="145"/>
      <c r="L112" s="145"/>
      <c r="M112" s="145"/>
      <c r="N112" s="145"/>
      <c r="O112" s="145"/>
      <c r="P112" s="145"/>
      <c r="Q112" s="145"/>
    </row>
    <row r="113" spans="1:17" ht="15" x14ac:dyDescent="0.2">
      <c r="A113" s="145"/>
      <c r="B113" s="145"/>
      <c r="C113" s="145"/>
      <c r="D113" s="145"/>
      <c r="E113" s="145"/>
      <c r="F113" s="145"/>
      <c r="G113" s="145"/>
      <c r="H113" s="145"/>
      <c r="I113" s="145"/>
      <c r="J113" s="145"/>
      <c r="K113" s="145"/>
      <c r="L113" s="145"/>
      <c r="M113" s="145"/>
      <c r="N113" s="145"/>
      <c r="O113" s="145"/>
      <c r="P113" s="145"/>
      <c r="Q113" s="145"/>
    </row>
    <row r="114" spans="1:17" ht="15" x14ac:dyDescent="0.2">
      <c r="A114" s="145"/>
      <c r="B114" s="145"/>
      <c r="C114" s="145"/>
      <c r="D114" s="145"/>
      <c r="E114" s="145"/>
      <c r="F114" s="145"/>
      <c r="G114" s="145"/>
      <c r="H114" s="145"/>
      <c r="I114" s="145"/>
      <c r="J114" s="145"/>
      <c r="K114" s="145"/>
      <c r="L114" s="145"/>
      <c r="M114" s="145"/>
      <c r="N114" s="145"/>
      <c r="O114" s="145"/>
      <c r="P114" s="145"/>
      <c r="Q114" s="145"/>
    </row>
    <row r="115" spans="1:17" ht="15" x14ac:dyDescent="0.2">
      <c r="A115" s="145"/>
      <c r="B115" s="145"/>
      <c r="C115" s="145"/>
      <c r="D115" s="145"/>
      <c r="E115" s="145"/>
      <c r="F115" s="145"/>
      <c r="G115" s="145"/>
      <c r="H115" s="145"/>
      <c r="I115" s="145"/>
      <c r="J115" s="145"/>
      <c r="K115" s="145"/>
      <c r="L115" s="145"/>
      <c r="M115" s="145"/>
      <c r="N115" s="145"/>
      <c r="O115" s="145"/>
      <c r="P115" s="145"/>
      <c r="Q115" s="145"/>
    </row>
    <row r="116" spans="1:17" ht="15" x14ac:dyDescent="0.2">
      <c r="A116" s="145"/>
      <c r="B116" s="145"/>
      <c r="C116" s="145"/>
      <c r="D116" s="145"/>
      <c r="E116" s="145"/>
      <c r="F116" s="145"/>
      <c r="G116" s="145"/>
      <c r="H116" s="145"/>
      <c r="I116" s="145"/>
      <c r="J116" s="145"/>
      <c r="K116" s="145"/>
      <c r="L116" s="145"/>
      <c r="M116" s="145"/>
      <c r="N116" s="145"/>
      <c r="O116" s="145"/>
      <c r="P116" s="145"/>
      <c r="Q116" s="145"/>
    </row>
    <row r="117" spans="1:17" ht="15" x14ac:dyDescent="0.2">
      <c r="A117" s="145"/>
      <c r="B117" s="145"/>
      <c r="C117" s="145"/>
      <c r="D117" s="145"/>
      <c r="E117" s="145"/>
      <c r="F117" s="145"/>
      <c r="G117" s="145"/>
      <c r="H117" s="145"/>
      <c r="I117" s="145"/>
      <c r="J117" s="145"/>
      <c r="K117" s="145"/>
      <c r="L117" s="145"/>
      <c r="M117" s="145"/>
      <c r="N117" s="145"/>
      <c r="O117" s="145"/>
      <c r="P117" s="145"/>
      <c r="Q117" s="145"/>
    </row>
    <row r="118" spans="1:17" ht="15" x14ac:dyDescent="0.2">
      <c r="A118" s="145"/>
      <c r="B118" s="145"/>
      <c r="C118" s="145"/>
      <c r="D118" s="145"/>
      <c r="E118" s="145"/>
      <c r="F118" s="145"/>
      <c r="G118" s="145"/>
      <c r="H118" s="145"/>
      <c r="I118" s="145"/>
      <c r="J118" s="145"/>
      <c r="K118" s="145"/>
      <c r="L118" s="145"/>
      <c r="M118" s="145"/>
      <c r="N118" s="145"/>
      <c r="O118" s="145"/>
      <c r="P118" s="145"/>
      <c r="Q118" s="145"/>
    </row>
    <row r="119" spans="1:17" ht="15" x14ac:dyDescent="0.2">
      <c r="A119" s="145"/>
      <c r="B119" s="145"/>
      <c r="C119" s="145"/>
      <c r="D119" s="145"/>
      <c r="E119" s="145"/>
      <c r="F119" s="145"/>
      <c r="G119" s="145"/>
      <c r="H119" s="145"/>
      <c r="I119" s="145"/>
      <c r="J119" s="145"/>
      <c r="K119" s="145"/>
      <c r="L119" s="145"/>
      <c r="M119" s="145"/>
      <c r="N119" s="145"/>
      <c r="O119" s="145"/>
      <c r="P119" s="145"/>
      <c r="Q119" s="145"/>
    </row>
    <row r="120" spans="1:17" ht="15" x14ac:dyDescent="0.2">
      <c r="A120" s="145"/>
      <c r="B120" s="145"/>
      <c r="C120" s="145"/>
      <c r="D120" s="145"/>
      <c r="E120" s="145"/>
      <c r="F120" s="145"/>
      <c r="G120" s="145"/>
      <c r="H120" s="145"/>
      <c r="I120" s="145"/>
      <c r="J120" s="145"/>
      <c r="K120" s="145"/>
      <c r="L120" s="145"/>
      <c r="M120" s="145"/>
      <c r="N120" s="145"/>
      <c r="O120" s="145"/>
      <c r="P120" s="145"/>
      <c r="Q120" s="145"/>
    </row>
    <row r="121" spans="1:17" ht="15" x14ac:dyDescent="0.2">
      <c r="A121" s="145"/>
      <c r="B121" s="145"/>
      <c r="C121" s="145"/>
      <c r="D121" s="145"/>
      <c r="E121" s="145"/>
      <c r="F121" s="145"/>
      <c r="G121" s="145"/>
      <c r="H121" s="145"/>
      <c r="I121" s="145"/>
      <c r="J121" s="145"/>
      <c r="K121" s="145"/>
      <c r="L121" s="145"/>
      <c r="M121" s="145"/>
      <c r="N121" s="145"/>
      <c r="O121" s="145"/>
      <c r="P121" s="145"/>
      <c r="Q121" s="145"/>
    </row>
    <row r="122" spans="1:17" ht="15" x14ac:dyDescent="0.2">
      <c r="A122" s="145"/>
      <c r="B122" s="145"/>
      <c r="C122" s="145"/>
      <c r="D122" s="145"/>
      <c r="E122" s="145"/>
      <c r="F122" s="145"/>
      <c r="G122" s="145"/>
      <c r="H122" s="145"/>
      <c r="I122" s="145"/>
      <c r="J122" s="145"/>
      <c r="K122" s="145"/>
      <c r="L122" s="145"/>
      <c r="M122" s="145"/>
      <c r="N122" s="145"/>
      <c r="O122" s="145"/>
      <c r="P122" s="145"/>
      <c r="Q122" s="145"/>
    </row>
    <row r="123" spans="1:17" ht="15" x14ac:dyDescent="0.2">
      <c r="A123" s="145"/>
      <c r="B123" s="145"/>
      <c r="C123" s="145"/>
      <c r="D123" s="145"/>
      <c r="E123" s="145"/>
      <c r="F123" s="145"/>
      <c r="G123" s="145"/>
      <c r="H123" s="145"/>
      <c r="I123" s="145"/>
      <c r="J123" s="145"/>
      <c r="K123" s="145"/>
      <c r="L123" s="145"/>
      <c r="M123" s="145"/>
      <c r="N123" s="145"/>
      <c r="O123" s="145"/>
      <c r="P123" s="145"/>
      <c r="Q123" s="145"/>
    </row>
    <row r="124" spans="1:17" ht="15" x14ac:dyDescent="0.2">
      <c r="A124" s="145"/>
      <c r="B124" s="145"/>
      <c r="C124" s="145"/>
      <c r="D124" s="145"/>
      <c r="E124" s="145"/>
      <c r="F124" s="145"/>
      <c r="G124" s="145"/>
      <c r="H124" s="145"/>
      <c r="I124" s="145"/>
      <c r="J124" s="145"/>
      <c r="K124" s="145"/>
      <c r="L124" s="145"/>
      <c r="M124" s="145"/>
      <c r="N124" s="145"/>
      <c r="O124" s="145"/>
      <c r="P124" s="145"/>
      <c r="Q124" s="145"/>
    </row>
    <row r="125" spans="1:17" ht="15" x14ac:dyDescent="0.2">
      <c r="A125" s="145"/>
      <c r="B125" s="145"/>
      <c r="C125" s="145"/>
      <c r="D125" s="145"/>
      <c r="E125" s="145"/>
      <c r="F125" s="145"/>
      <c r="G125" s="145"/>
      <c r="H125" s="145"/>
      <c r="I125" s="145"/>
      <c r="J125" s="145"/>
      <c r="K125" s="145"/>
      <c r="L125" s="145"/>
      <c r="M125" s="145"/>
      <c r="N125" s="145"/>
      <c r="O125" s="145"/>
      <c r="P125" s="145"/>
      <c r="Q125" s="145"/>
    </row>
    <row r="126" spans="1:17" ht="15" x14ac:dyDescent="0.2">
      <c r="A126" s="145"/>
      <c r="B126" s="145"/>
      <c r="C126" s="145"/>
      <c r="D126" s="145"/>
      <c r="E126" s="145"/>
      <c r="F126" s="145"/>
      <c r="G126" s="145"/>
      <c r="H126" s="145"/>
      <c r="I126" s="145"/>
      <c r="J126" s="145"/>
      <c r="K126" s="145"/>
      <c r="L126" s="145"/>
      <c r="M126" s="145"/>
      <c r="N126" s="145"/>
      <c r="O126" s="145"/>
      <c r="P126" s="145"/>
      <c r="Q126" s="145"/>
    </row>
    <row r="127" spans="1:17" ht="15" x14ac:dyDescent="0.2">
      <c r="A127" s="145"/>
      <c r="B127" s="145"/>
      <c r="C127" s="145"/>
      <c r="D127" s="145"/>
      <c r="E127" s="145"/>
      <c r="F127" s="145"/>
      <c r="G127" s="145"/>
      <c r="H127" s="145"/>
      <c r="I127" s="145"/>
      <c r="J127" s="145"/>
      <c r="K127" s="145"/>
      <c r="L127" s="145"/>
      <c r="M127" s="145"/>
      <c r="N127" s="145"/>
      <c r="O127" s="145"/>
      <c r="P127" s="145"/>
      <c r="Q127" s="145"/>
    </row>
    <row r="128" spans="1:17" ht="15" x14ac:dyDescent="0.2">
      <c r="A128" s="145"/>
      <c r="B128" s="145"/>
      <c r="C128" s="145"/>
      <c r="D128" s="145"/>
      <c r="E128" s="145"/>
      <c r="F128" s="145"/>
      <c r="G128" s="145"/>
      <c r="H128" s="145"/>
      <c r="I128" s="145"/>
      <c r="J128" s="145"/>
      <c r="K128" s="145"/>
      <c r="L128" s="145"/>
      <c r="M128" s="145"/>
      <c r="N128" s="145"/>
      <c r="O128" s="145"/>
      <c r="P128" s="145"/>
      <c r="Q128" s="145"/>
    </row>
    <row r="129" spans="1:17" ht="15" x14ac:dyDescent="0.2">
      <c r="A129" s="145"/>
      <c r="B129" s="145"/>
      <c r="C129" s="145"/>
      <c r="D129" s="145"/>
      <c r="E129" s="145"/>
      <c r="F129" s="145"/>
      <c r="G129" s="145"/>
      <c r="H129" s="145"/>
      <c r="I129" s="145"/>
      <c r="J129" s="145"/>
      <c r="K129" s="145"/>
      <c r="L129" s="145"/>
      <c r="M129" s="145"/>
      <c r="N129" s="145"/>
      <c r="O129" s="145"/>
      <c r="P129" s="145"/>
      <c r="Q129" s="145"/>
    </row>
    <row r="130" spans="1:17" ht="15" x14ac:dyDescent="0.2">
      <c r="A130" s="145"/>
      <c r="B130" s="145"/>
      <c r="C130" s="145"/>
      <c r="D130" s="145"/>
      <c r="E130" s="145"/>
      <c r="F130" s="145"/>
      <c r="G130" s="145"/>
      <c r="H130" s="145"/>
      <c r="I130" s="145"/>
      <c r="J130" s="145"/>
      <c r="K130" s="145"/>
      <c r="L130" s="145"/>
      <c r="M130" s="145"/>
      <c r="N130" s="145"/>
      <c r="O130" s="145"/>
      <c r="P130" s="145"/>
      <c r="Q130" s="145"/>
    </row>
    <row r="131" spans="1:17" ht="15" x14ac:dyDescent="0.2">
      <c r="A131" s="145"/>
      <c r="B131" s="145"/>
      <c r="C131" s="145"/>
      <c r="D131" s="145"/>
      <c r="E131" s="145"/>
      <c r="F131" s="145"/>
      <c r="G131" s="145"/>
      <c r="H131" s="145"/>
      <c r="I131" s="145"/>
      <c r="J131" s="145"/>
      <c r="K131" s="145"/>
      <c r="L131" s="145"/>
      <c r="M131" s="145"/>
      <c r="N131" s="145"/>
      <c r="O131" s="145"/>
      <c r="P131" s="145"/>
      <c r="Q131" s="145"/>
    </row>
    <row r="132" spans="1:17" ht="15" x14ac:dyDescent="0.2">
      <c r="A132" s="145"/>
      <c r="B132" s="145"/>
      <c r="C132" s="145"/>
      <c r="D132" s="145"/>
      <c r="E132" s="145"/>
      <c r="F132" s="145"/>
      <c r="G132" s="145"/>
      <c r="H132" s="145"/>
      <c r="I132" s="145"/>
      <c r="J132" s="145"/>
      <c r="K132" s="145"/>
      <c r="L132" s="145"/>
      <c r="M132" s="145"/>
      <c r="N132" s="145"/>
      <c r="O132" s="145"/>
      <c r="P132" s="145"/>
      <c r="Q132" s="145"/>
    </row>
    <row r="133" spans="1:17" ht="15" x14ac:dyDescent="0.2">
      <c r="A133" s="145"/>
      <c r="B133" s="145"/>
      <c r="C133" s="145"/>
      <c r="D133" s="145"/>
      <c r="E133" s="145"/>
      <c r="F133" s="145"/>
      <c r="G133" s="145"/>
      <c r="H133" s="145"/>
      <c r="I133" s="145"/>
      <c r="J133" s="145"/>
      <c r="K133" s="145"/>
      <c r="L133" s="145"/>
      <c r="M133" s="145"/>
      <c r="N133" s="145"/>
      <c r="O133" s="145"/>
      <c r="P133" s="145"/>
      <c r="Q133" s="145"/>
    </row>
    <row r="134" spans="1:17" ht="15" x14ac:dyDescent="0.2">
      <c r="A134" s="145"/>
      <c r="B134" s="145"/>
      <c r="C134" s="145"/>
      <c r="D134" s="145"/>
      <c r="E134" s="145"/>
      <c r="F134" s="145"/>
      <c r="G134" s="145"/>
      <c r="H134" s="145"/>
      <c r="I134" s="145"/>
      <c r="J134" s="145"/>
      <c r="K134" s="145"/>
      <c r="L134" s="145"/>
      <c r="M134" s="145"/>
      <c r="N134" s="145"/>
      <c r="O134" s="145"/>
      <c r="P134" s="145"/>
      <c r="Q134" s="145"/>
    </row>
    <row r="135" spans="1:17" ht="15" x14ac:dyDescent="0.2">
      <c r="A135" s="145"/>
      <c r="B135" s="145"/>
      <c r="C135" s="145"/>
      <c r="D135" s="145"/>
      <c r="E135" s="145"/>
      <c r="F135" s="145"/>
      <c r="G135" s="145"/>
      <c r="H135" s="145"/>
      <c r="I135" s="145"/>
      <c r="J135" s="145"/>
      <c r="K135" s="145"/>
      <c r="L135" s="145"/>
      <c r="M135" s="145"/>
      <c r="N135" s="145"/>
      <c r="O135" s="145"/>
      <c r="P135" s="145"/>
      <c r="Q135" s="145"/>
    </row>
    <row r="136" spans="1:17" ht="15" x14ac:dyDescent="0.2">
      <c r="A136" s="145"/>
      <c r="B136" s="145"/>
      <c r="C136" s="145"/>
      <c r="D136" s="145"/>
      <c r="E136" s="145"/>
      <c r="F136" s="145"/>
      <c r="G136" s="145"/>
      <c r="H136" s="145"/>
      <c r="I136" s="145"/>
      <c r="J136" s="145"/>
      <c r="K136" s="145"/>
      <c r="L136" s="145"/>
      <c r="M136" s="145"/>
      <c r="N136" s="145"/>
      <c r="O136" s="145"/>
      <c r="P136" s="145"/>
      <c r="Q136" s="145"/>
    </row>
    <row r="137" spans="1:17" ht="15" x14ac:dyDescent="0.2">
      <c r="A137" s="145"/>
      <c r="B137" s="145"/>
      <c r="C137" s="145"/>
      <c r="D137" s="145"/>
      <c r="E137" s="145"/>
      <c r="F137" s="145"/>
      <c r="G137" s="145"/>
      <c r="H137" s="145"/>
      <c r="I137" s="145"/>
      <c r="J137" s="145"/>
      <c r="K137" s="145"/>
      <c r="L137" s="145"/>
      <c r="M137" s="145"/>
      <c r="N137" s="145"/>
      <c r="O137" s="145"/>
      <c r="P137" s="145"/>
      <c r="Q137" s="145"/>
    </row>
    <row r="138" spans="1:17" ht="15" x14ac:dyDescent="0.2">
      <c r="A138" s="145"/>
      <c r="B138" s="145"/>
      <c r="C138" s="145"/>
      <c r="D138" s="145"/>
      <c r="E138" s="145"/>
      <c r="F138" s="145"/>
      <c r="G138" s="145"/>
      <c r="H138" s="145"/>
      <c r="I138" s="145"/>
      <c r="J138" s="145"/>
      <c r="K138" s="145"/>
      <c r="L138" s="145"/>
      <c r="M138" s="145"/>
      <c r="N138" s="145"/>
      <c r="O138" s="145"/>
      <c r="P138" s="145"/>
      <c r="Q138" s="145"/>
    </row>
    <row r="139" spans="1:17" ht="15" x14ac:dyDescent="0.2">
      <c r="A139" s="145"/>
      <c r="B139" s="145"/>
      <c r="C139" s="145"/>
      <c r="D139" s="145"/>
      <c r="E139" s="145"/>
      <c r="F139" s="145"/>
      <c r="G139" s="145"/>
      <c r="H139" s="145"/>
      <c r="I139" s="145"/>
      <c r="J139" s="145"/>
      <c r="K139" s="145"/>
      <c r="L139" s="145"/>
      <c r="M139" s="145"/>
      <c r="N139" s="145"/>
      <c r="O139" s="145"/>
      <c r="P139" s="145"/>
      <c r="Q139" s="145"/>
    </row>
    <row r="140" spans="1:17" ht="15" x14ac:dyDescent="0.2">
      <c r="A140" s="145"/>
      <c r="B140" s="145"/>
      <c r="C140" s="145"/>
      <c r="D140" s="145"/>
      <c r="E140" s="145"/>
      <c r="F140" s="145"/>
      <c r="G140" s="145"/>
      <c r="H140" s="145"/>
      <c r="I140" s="145"/>
      <c r="J140" s="145"/>
      <c r="K140" s="145"/>
      <c r="L140" s="145"/>
      <c r="M140" s="145"/>
      <c r="N140" s="145"/>
      <c r="O140" s="145"/>
      <c r="P140" s="145"/>
      <c r="Q140" s="145"/>
    </row>
    <row r="141" spans="1:17" ht="15" x14ac:dyDescent="0.2">
      <c r="A141" s="145"/>
      <c r="B141" s="145"/>
      <c r="C141" s="145"/>
      <c r="D141" s="145"/>
      <c r="E141" s="145"/>
      <c r="F141" s="145"/>
      <c r="G141" s="145"/>
      <c r="H141" s="145"/>
      <c r="I141" s="145"/>
      <c r="J141" s="145"/>
      <c r="K141" s="145"/>
      <c r="L141" s="145"/>
      <c r="M141" s="145"/>
      <c r="N141" s="145"/>
      <c r="O141" s="145"/>
      <c r="P141" s="145"/>
      <c r="Q141" s="145"/>
    </row>
    <row r="142" spans="1:17" ht="15" x14ac:dyDescent="0.2">
      <c r="A142" s="145"/>
      <c r="B142" s="145"/>
      <c r="C142" s="145"/>
      <c r="D142" s="145"/>
      <c r="E142" s="145"/>
      <c r="F142" s="145"/>
      <c r="G142" s="145"/>
      <c r="H142" s="145"/>
      <c r="I142" s="145"/>
      <c r="J142" s="145"/>
      <c r="K142" s="145"/>
      <c r="L142" s="145"/>
      <c r="M142" s="145"/>
      <c r="N142" s="145"/>
      <c r="O142" s="145"/>
      <c r="P142" s="145"/>
      <c r="Q142" s="145"/>
    </row>
    <row r="143" spans="1:17" ht="15" x14ac:dyDescent="0.2">
      <c r="A143" s="145"/>
      <c r="B143" s="145"/>
      <c r="C143" s="145"/>
      <c r="D143" s="145"/>
      <c r="E143" s="145"/>
      <c r="F143" s="145"/>
      <c r="G143" s="145"/>
      <c r="H143" s="145"/>
      <c r="I143" s="145"/>
      <c r="J143" s="145"/>
      <c r="K143" s="145"/>
      <c r="L143" s="145"/>
      <c r="M143" s="145"/>
      <c r="N143" s="145"/>
      <c r="O143" s="145"/>
      <c r="P143" s="145"/>
      <c r="Q143" s="145"/>
    </row>
    <row r="144" spans="1:17" ht="15" x14ac:dyDescent="0.2">
      <c r="A144" s="145"/>
      <c r="B144" s="145"/>
      <c r="C144" s="145"/>
      <c r="D144" s="145"/>
      <c r="E144" s="145"/>
      <c r="F144" s="145"/>
      <c r="G144" s="145"/>
      <c r="H144" s="145"/>
      <c r="I144" s="145"/>
      <c r="J144" s="145"/>
      <c r="K144" s="145"/>
      <c r="L144" s="145"/>
      <c r="M144" s="145"/>
      <c r="N144" s="145"/>
      <c r="O144" s="145"/>
      <c r="P144" s="145"/>
      <c r="Q144" s="145"/>
    </row>
    <row r="145" spans="1:17" ht="15" x14ac:dyDescent="0.2">
      <c r="A145" s="145"/>
      <c r="B145" s="145"/>
      <c r="C145" s="145"/>
      <c r="D145" s="145"/>
      <c r="E145" s="145"/>
      <c r="F145" s="145"/>
      <c r="G145" s="145"/>
      <c r="H145" s="145"/>
      <c r="I145" s="145"/>
      <c r="J145" s="145"/>
      <c r="K145" s="145"/>
      <c r="L145" s="145"/>
      <c r="M145" s="145"/>
      <c r="N145" s="145"/>
      <c r="O145" s="145"/>
      <c r="P145" s="145"/>
      <c r="Q145" s="145"/>
    </row>
    <row r="146" spans="1:17" ht="15" x14ac:dyDescent="0.2">
      <c r="A146" s="145"/>
      <c r="B146" s="145"/>
      <c r="C146" s="145"/>
      <c r="D146" s="145"/>
      <c r="E146" s="145"/>
      <c r="F146" s="145"/>
      <c r="G146" s="145"/>
      <c r="H146" s="145"/>
      <c r="I146" s="145"/>
      <c r="J146" s="145"/>
      <c r="K146" s="145"/>
      <c r="L146" s="145"/>
      <c r="M146" s="145"/>
      <c r="N146" s="145"/>
      <c r="O146" s="145"/>
      <c r="P146" s="145"/>
      <c r="Q146" s="145"/>
    </row>
    <row r="147" spans="1:17" ht="15" x14ac:dyDescent="0.2">
      <c r="A147" s="145"/>
      <c r="B147" s="145"/>
      <c r="C147" s="145"/>
      <c r="D147" s="145"/>
      <c r="E147" s="145"/>
      <c r="F147" s="145"/>
      <c r="G147" s="145"/>
      <c r="H147" s="145"/>
      <c r="I147" s="145"/>
      <c r="J147" s="145"/>
      <c r="K147" s="145"/>
      <c r="L147" s="145"/>
      <c r="M147" s="145"/>
      <c r="N147" s="145"/>
      <c r="O147" s="145"/>
      <c r="P147" s="145"/>
      <c r="Q147" s="145"/>
    </row>
    <row r="148" spans="1:17" ht="15" x14ac:dyDescent="0.2">
      <c r="A148" s="145"/>
      <c r="B148" s="145"/>
      <c r="C148" s="145"/>
      <c r="D148" s="145"/>
      <c r="E148" s="145"/>
      <c r="F148" s="145"/>
      <c r="G148" s="145"/>
      <c r="H148" s="145"/>
      <c r="I148" s="145"/>
      <c r="J148" s="145"/>
      <c r="K148" s="145"/>
      <c r="L148" s="145"/>
      <c r="M148" s="145"/>
      <c r="N148" s="145"/>
      <c r="O148" s="145"/>
      <c r="P148" s="145"/>
      <c r="Q148" s="145"/>
    </row>
    <row r="149" spans="1:17" ht="15" x14ac:dyDescent="0.2">
      <c r="A149" s="145"/>
      <c r="B149" s="145"/>
      <c r="C149" s="145"/>
      <c r="D149" s="145"/>
      <c r="E149" s="145"/>
      <c r="F149" s="145"/>
      <c r="G149" s="145"/>
      <c r="H149" s="145"/>
      <c r="I149" s="145"/>
      <c r="J149" s="145"/>
      <c r="K149" s="145"/>
      <c r="L149" s="145"/>
      <c r="M149" s="145"/>
      <c r="N149" s="145"/>
      <c r="O149" s="145"/>
      <c r="P149" s="145"/>
      <c r="Q149" s="145"/>
    </row>
    <row r="150" spans="1:17" ht="15" x14ac:dyDescent="0.2">
      <c r="A150" s="145"/>
      <c r="B150" s="145"/>
      <c r="C150" s="145"/>
      <c r="D150" s="145"/>
      <c r="E150" s="145"/>
      <c r="F150" s="145"/>
      <c r="G150" s="145"/>
      <c r="H150" s="145"/>
      <c r="I150" s="145"/>
      <c r="J150" s="145"/>
      <c r="K150" s="145"/>
      <c r="L150" s="145"/>
      <c r="M150" s="145"/>
      <c r="N150" s="145"/>
      <c r="O150" s="145"/>
      <c r="P150" s="145"/>
      <c r="Q150" s="145"/>
    </row>
    <row r="151" spans="1:17" ht="15" x14ac:dyDescent="0.2">
      <c r="A151" s="145"/>
      <c r="B151" s="145"/>
      <c r="C151" s="145"/>
      <c r="D151" s="145"/>
      <c r="E151" s="145"/>
      <c r="F151" s="145"/>
      <c r="G151" s="145"/>
      <c r="H151" s="145"/>
      <c r="I151" s="145"/>
      <c r="J151" s="145"/>
      <c r="K151" s="145"/>
      <c r="L151" s="145"/>
      <c r="M151" s="145"/>
      <c r="N151" s="145"/>
      <c r="O151" s="145"/>
      <c r="P151" s="145"/>
      <c r="Q151" s="145"/>
    </row>
    <row r="152" spans="1:17" ht="15" x14ac:dyDescent="0.2">
      <c r="A152" s="145"/>
      <c r="B152" s="145"/>
      <c r="C152" s="145"/>
      <c r="D152" s="145"/>
      <c r="E152" s="145"/>
      <c r="F152" s="145"/>
      <c r="G152" s="145"/>
      <c r="H152" s="145"/>
      <c r="I152" s="145"/>
      <c r="J152" s="145"/>
      <c r="K152" s="145"/>
      <c r="L152" s="145"/>
      <c r="M152" s="145"/>
      <c r="N152" s="145"/>
      <c r="O152" s="145"/>
      <c r="P152" s="145"/>
      <c r="Q152" s="145"/>
    </row>
    <row r="153" spans="1:17" ht="15" x14ac:dyDescent="0.2">
      <c r="A153" s="145"/>
      <c r="B153" s="145"/>
      <c r="C153" s="145"/>
      <c r="D153" s="145"/>
      <c r="E153" s="145"/>
      <c r="F153" s="145"/>
      <c r="G153" s="145"/>
      <c r="H153" s="145"/>
      <c r="I153" s="145"/>
      <c r="J153" s="145"/>
      <c r="K153" s="145"/>
      <c r="L153" s="145"/>
      <c r="M153" s="145"/>
      <c r="N153" s="145"/>
      <c r="O153" s="145"/>
      <c r="P153" s="145"/>
      <c r="Q153" s="145"/>
    </row>
    <row r="154" spans="1:17" ht="15" x14ac:dyDescent="0.2">
      <c r="A154" s="145"/>
      <c r="B154" s="145"/>
      <c r="C154" s="145"/>
      <c r="D154" s="145"/>
      <c r="E154" s="145"/>
      <c r="F154" s="145"/>
      <c r="G154" s="145"/>
      <c r="H154" s="145"/>
      <c r="I154" s="145"/>
      <c r="J154" s="145"/>
      <c r="K154" s="145"/>
      <c r="L154" s="145"/>
      <c r="M154" s="145"/>
      <c r="N154" s="145"/>
      <c r="O154" s="145"/>
      <c r="P154" s="145"/>
      <c r="Q154" s="145"/>
    </row>
    <row r="155" spans="1:17" ht="15" x14ac:dyDescent="0.2">
      <c r="A155" s="145"/>
      <c r="B155" s="145"/>
      <c r="C155" s="145"/>
      <c r="D155" s="145"/>
      <c r="E155" s="145"/>
      <c r="F155" s="145"/>
      <c r="G155" s="145"/>
      <c r="H155" s="145"/>
      <c r="I155" s="145"/>
      <c r="J155" s="145"/>
      <c r="K155" s="145"/>
      <c r="L155" s="145"/>
      <c r="M155" s="145"/>
      <c r="N155" s="145"/>
      <c r="O155" s="145"/>
      <c r="P155" s="145"/>
      <c r="Q155" s="145"/>
    </row>
    <row r="156" spans="1:17" ht="15" x14ac:dyDescent="0.2">
      <c r="A156" s="145"/>
      <c r="B156" s="145"/>
      <c r="C156" s="145"/>
      <c r="D156" s="145"/>
      <c r="E156" s="145"/>
      <c r="F156" s="145"/>
      <c r="G156" s="145"/>
      <c r="H156" s="145"/>
      <c r="I156" s="145"/>
      <c r="J156" s="145"/>
      <c r="K156" s="145"/>
      <c r="L156" s="145"/>
      <c r="M156" s="145"/>
      <c r="N156" s="145"/>
      <c r="O156" s="145"/>
      <c r="P156" s="145"/>
      <c r="Q156" s="145"/>
    </row>
    <row r="157" spans="1:17" ht="15" x14ac:dyDescent="0.2">
      <c r="A157" s="145"/>
      <c r="B157" s="145"/>
      <c r="C157" s="145"/>
      <c r="D157" s="145"/>
      <c r="E157" s="145"/>
      <c r="F157" s="145"/>
      <c r="G157" s="145"/>
      <c r="H157" s="145"/>
      <c r="I157" s="145"/>
      <c r="J157" s="145"/>
      <c r="K157" s="145"/>
      <c r="L157" s="145"/>
      <c r="M157" s="145"/>
      <c r="N157" s="145"/>
      <c r="O157" s="145"/>
      <c r="P157" s="145"/>
      <c r="Q157" s="145"/>
    </row>
    <row r="158" spans="1:17" ht="15" x14ac:dyDescent="0.2">
      <c r="A158" s="145"/>
      <c r="B158" s="145"/>
      <c r="C158" s="145"/>
      <c r="D158" s="145"/>
      <c r="E158" s="145"/>
      <c r="F158" s="145"/>
      <c r="G158" s="145"/>
      <c r="H158" s="145"/>
      <c r="I158" s="145"/>
      <c r="J158" s="145"/>
      <c r="K158" s="145"/>
      <c r="L158" s="145"/>
      <c r="M158" s="145"/>
      <c r="N158" s="145"/>
      <c r="O158" s="145"/>
      <c r="P158" s="145"/>
      <c r="Q158" s="145"/>
    </row>
    <row r="159" spans="1:17" ht="15" x14ac:dyDescent="0.2">
      <c r="A159" s="145"/>
      <c r="B159" s="145"/>
      <c r="C159" s="145"/>
      <c r="D159" s="145"/>
      <c r="E159" s="145"/>
      <c r="F159" s="145"/>
      <c r="G159" s="145"/>
      <c r="H159" s="145"/>
      <c r="I159" s="145"/>
      <c r="J159" s="145"/>
      <c r="K159" s="145"/>
      <c r="L159" s="145"/>
      <c r="M159" s="145"/>
      <c r="N159" s="145"/>
      <c r="O159" s="145"/>
      <c r="P159" s="145"/>
      <c r="Q159" s="145"/>
    </row>
    <row r="160" spans="1:17" ht="15" x14ac:dyDescent="0.2">
      <c r="A160" s="145"/>
      <c r="B160" s="145"/>
      <c r="C160" s="145"/>
      <c r="D160" s="145"/>
      <c r="E160" s="145"/>
      <c r="F160" s="145"/>
      <c r="G160" s="145"/>
      <c r="H160" s="145"/>
      <c r="I160" s="145"/>
      <c r="J160" s="145"/>
      <c r="K160" s="145"/>
      <c r="L160" s="145"/>
      <c r="M160" s="145"/>
      <c r="N160" s="145"/>
      <c r="O160" s="145"/>
      <c r="P160" s="145"/>
      <c r="Q160" s="145"/>
    </row>
    <row r="161" spans="1:17" ht="15" x14ac:dyDescent="0.2">
      <c r="A161" s="145"/>
      <c r="B161" s="145"/>
      <c r="C161" s="145"/>
      <c r="D161" s="145"/>
      <c r="E161" s="145"/>
      <c r="F161" s="145"/>
      <c r="G161" s="145"/>
      <c r="H161" s="145"/>
      <c r="I161" s="145"/>
      <c r="J161" s="145"/>
      <c r="K161" s="145"/>
      <c r="L161" s="145"/>
      <c r="M161" s="145"/>
      <c r="N161" s="145"/>
      <c r="O161" s="145"/>
      <c r="P161" s="145"/>
      <c r="Q161" s="145"/>
    </row>
    <row r="162" spans="1:17" ht="15" x14ac:dyDescent="0.2">
      <c r="A162" s="145"/>
      <c r="B162" s="145"/>
      <c r="C162" s="145"/>
      <c r="D162" s="145"/>
      <c r="E162" s="145"/>
      <c r="F162" s="145"/>
      <c r="G162" s="145"/>
      <c r="H162" s="145"/>
      <c r="I162" s="145"/>
      <c r="J162" s="145"/>
      <c r="K162" s="145"/>
      <c r="L162" s="145"/>
      <c r="M162" s="145"/>
      <c r="N162" s="145"/>
      <c r="O162" s="145"/>
      <c r="P162" s="145"/>
      <c r="Q162" s="145"/>
    </row>
    <row r="163" spans="1:17" ht="15" x14ac:dyDescent="0.2">
      <c r="A163" s="145"/>
      <c r="B163" s="145"/>
      <c r="C163" s="145"/>
      <c r="D163" s="145"/>
      <c r="E163" s="145"/>
      <c r="F163" s="145"/>
      <c r="G163" s="145"/>
      <c r="H163" s="145"/>
      <c r="I163" s="145"/>
      <c r="J163" s="145"/>
      <c r="K163" s="145"/>
      <c r="L163" s="145"/>
      <c r="M163" s="145"/>
      <c r="N163" s="145"/>
      <c r="O163" s="145"/>
      <c r="P163" s="145"/>
      <c r="Q163" s="145"/>
    </row>
    <row r="164" spans="1:17" ht="15" x14ac:dyDescent="0.2">
      <c r="A164" s="145"/>
      <c r="B164" s="145"/>
      <c r="C164" s="145"/>
      <c r="D164" s="145"/>
      <c r="E164" s="145"/>
      <c r="F164" s="145"/>
      <c r="G164" s="145"/>
      <c r="H164" s="145"/>
      <c r="I164" s="145"/>
      <c r="J164" s="145"/>
      <c r="K164" s="145"/>
      <c r="L164" s="145"/>
      <c r="M164" s="145"/>
      <c r="N164" s="145"/>
      <c r="O164" s="145"/>
      <c r="P164" s="145"/>
      <c r="Q164" s="145"/>
    </row>
    <row r="165" spans="1:17" ht="15" x14ac:dyDescent="0.2">
      <c r="A165" s="145"/>
      <c r="B165" s="145"/>
      <c r="C165" s="145"/>
      <c r="D165" s="145"/>
      <c r="E165" s="145"/>
      <c r="F165" s="145"/>
      <c r="G165" s="145"/>
      <c r="H165" s="145"/>
      <c r="I165" s="145"/>
      <c r="J165" s="145"/>
      <c r="K165" s="145"/>
      <c r="L165" s="145"/>
      <c r="M165" s="145"/>
      <c r="N165" s="145"/>
      <c r="O165" s="145"/>
      <c r="P165" s="145"/>
      <c r="Q165" s="145"/>
    </row>
    <row r="166" spans="1:17" ht="15" x14ac:dyDescent="0.2">
      <c r="A166" s="145"/>
      <c r="B166" s="145"/>
      <c r="C166" s="145"/>
      <c r="D166" s="145"/>
      <c r="E166" s="145"/>
      <c r="F166" s="145"/>
      <c r="G166" s="145"/>
      <c r="H166" s="145"/>
      <c r="I166" s="145"/>
      <c r="J166" s="145"/>
      <c r="K166" s="145"/>
      <c r="L166" s="145"/>
      <c r="M166" s="145"/>
      <c r="N166" s="145"/>
      <c r="O166" s="145"/>
      <c r="P166" s="145"/>
      <c r="Q166" s="145"/>
    </row>
    <row r="167" spans="1:17" ht="15" x14ac:dyDescent="0.2">
      <c r="A167" s="145"/>
      <c r="B167" s="145"/>
      <c r="C167" s="145"/>
      <c r="D167" s="145"/>
      <c r="E167" s="145"/>
      <c r="F167" s="145"/>
      <c r="G167" s="145"/>
      <c r="H167" s="145"/>
      <c r="I167" s="145"/>
      <c r="J167" s="145"/>
      <c r="K167" s="145"/>
      <c r="L167" s="145"/>
      <c r="M167" s="145"/>
      <c r="N167" s="145"/>
      <c r="O167" s="145"/>
      <c r="P167" s="145"/>
      <c r="Q167" s="145"/>
    </row>
    <row r="168" spans="1:17" ht="15" x14ac:dyDescent="0.2">
      <c r="A168" s="145"/>
      <c r="B168" s="145"/>
      <c r="C168" s="145"/>
      <c r="D168" s="145"/>
      <c r="E168" s="145"/>
      <c r="F168" s="145"/>
      <c r="G168" s="145"/>
      <c r="H168" s="145"/>
      <c r="I168" s="145"/>
      <c r="J168" s="145"/>
      <c r="K168" s="145"/>
      <c r="L168" s="145"/>
      <c r="M168" s="145"/>
      <c r="N168" s="145"/>
      <c r="O168" s="145"/>
      <c r="P168" s="145"/>
      <c r="Q168" s="145"/>
    </row>
    <row r="169" spans="1:17" ht="15" x14ac:dyDescent="0.2">
      <c r="A169" s="145"/>
      <c r="B169" s="145"/>
      <c r="C169" s="145"/>
      <c r="D169" s="145"/>
      <c r="E169" s="145"/>
      <c r="F169" s="145"/>
      <c r="G169" s="145"/>
      <c r="H169" s="145"/>
      <c r="I169" s="145"/>
      <c r="J169" s="145"/>
      <c r="K169" s="145"/>
      <c r="L169" s="145"/>
      <c r="M169" s="145"/>
      <c r="N169" s="145"/>
      <c r="O169" s="145"/>
      <c r="P169" s="145"/>
      <c r="Q169" s="145"/>
    </row>
    <row r="170" spans="1:17" ht="15" x14ac:dyDescent="0.2">
      <c r="A170" s="145"/>
      <c r="B170" s="145"/>
      <c r="C170" s="145"/>
      <c r="D170" s="145"/>
      <c r="E170" s="145"/>
      <c r="F170" s="145"/>
      <c r="G170" s="145"/>
      <c r="H170" s="145"/>
      <c r="I170" s="145"/>
      <c r="J170" s="145"/>
      <c r="K170" s="145"/>
      <c r="L170" s="145"/>
      <c r="M170" s="145"/>
      <c r="N170" s="145"/>
      <c r="O170" s="145"/>
      <c r="P170" s="145"/>
      <c r="Q170" s="145"/>
    </row>
    <row r="171" spans="1:17" ht="15" x14ac:dyDescent="0.2">
      <c r="A171" s="145"/>
      <c r="B171" s="145"/>
      <c r="C171" s="145"/>
      <c r="D171" s="145"/>
      <c r="E171" s="145"/>
      <c r="F171" s="145"/>
      <c r="G171" s="145"/>
      <c r="H171" s="145"/>
      <c r="I171" s="145"/>
      <c r="J171" s="145"/>
      <c r="K171" s="145"/>
      <c r="L171" s="145"/>
      <c r="M171" s="145"/>
      <c r="N171" s="145"/>
      <c r="O171" s="145"/>
      <c r="P171" s="145"/>
      <c r="Q171" s="145"/>
    </row>
    <row r="172" spans="1:17" ht="15" x14ac:dyDescent="0.2">
      <c r="A172" s="145"/>
      <c r="B172" s="145"/>
      <c r="C172" s="145"/>
      <c r="D172" s="145"/>
      <c r="E172" s="145"/>
      <c r="F172" s="145"/>
      <c r="G172" s="145"/>
      <c r="H172" s="145"/>
      <c r="I172" s="145"/>
      <c r="J172" s="145"/>
      <c r="K172" s="145"/>
      <c r="L172" s="145"/>
      <c r="M172" s="145"/>
      <c r="N172" s="145"/>
      <c r="O172" s="145"/>
      <c r="P172" s="145"/>
      <c r="Q172" s="145"/>
    </row>
    <row r="173" spans="1:17" ht="15" x14ac:dyDescent="0.2">
      <c r="A173" s="145"/>
      <c r="B173" s="145"/>
      <c r="C173" s="145"/>
      <c r="D173" s="145"/>
      <c r="E173" s="145"/>
      <c r="F173" s="145"/>
      <c r="G173" s="145"/>
      <c r="H173" s="145"/>
      <c r="I173" s="145"/>
      <c r="J173" s="145"/>
      <c r="K173" s="145"/>
      <c r="L173" s="145"/>
      <c r="M173" s="145"/>
      <c r="N173" s="145"/>
      <c r="O173" s="145"/>
      <c r="P173" s="145"/>
      <c r="Q173" s="145"/>
    </row>
    <row r="174" spans="1:17" ht="15" x14ac:dyDescent="0.2">
      <c r="A174" s="145"/>
      <c r="B174" s="145"/>
      <c r="C174" s="145"/>
      <c r="D174" s="145"/>
      <c r="E174" s="145"/>
      <c r="F174" s="145"/>
      <c r="G174" s="145"/>
      <c r="H174" s="145"/>
      <c r="I174" s="145"/>
      <c r="J174" s="145"/>
      <c r="K174" s="145"/>
      <c r="L174" s="145"/>
      <c r="M174" s="145"/>
      <c r="N174" s="145"/>
      <c r="O174" s="145"/>
      <c r="P174" s="145"/>
      <c r="Q174" s="145"/>
    </row>
    <row r="175" spans="1:17" ht="15" x14ac:dyDescent="0.2">
      <c r="A175" s="145"/>
      <c r="B175" s="145"/>
      <c r="C175" s="145"/>
      <c r="D175" s="145"/>
      <c r="E175" s="145"/>
      <c r="F175" s="145"/>
      <c r="G175" s="145"/>
      <c r="H175" s="145"/>
      <c r="I175" s="145"/>
      <c r="J175" s="145"/>
      <c r="K175" s="145"/>
      <c r="L175" s="145"/>
      <c r="M175" s="145"/>
      <c r="N175" s="145"/>
      <c r="O175" s="145"/>
      <c r="P175" s="145"/>
      <c r="Q175" s="145"/>
    </row>
    <row r="176" spans="1:17" ht="15" x14ac:dyDescent="0.2">
      <c r="A176" s="145"/>
      <c r="B176" s="145"/>
      <c r="C176" s="145"/>
      <c r="D176" s="145"/>
      <c r="E176" s="145"/>
      <c r="F176" s="145"/>
      <c r="G176" s="145"/>
      <c r="H176" s="145"/>
      <c r="I176" s="145"/>
      <c r="J176" s="145"/>
      <c r="K176" s="145"/>
      <c r="L176" s="145"/>
      <c r="M176" s="145"/>
      <c r="N176" s="145"/>
      <c r="O176" s="145"/>
      <c r="P176" s="145"/>
      <c r="Q176" s="145"/>
    </row>
    <row r="177" spans="1:17" ht="15" x14ac:dyDescent="0.2">
      <c r="A177" s="145"/>
      <c r="B177" s="145"/>
      <c r="C177" s="145"/>
      <c r="D177" s="145"/>
      <c r="E177" s="145"/>
      <c r="F177" s="145"/>
      <c r="G177" s="145"/>
      <c r="H177" s="145"/>
      <c r="I177" s="145"/>
      <c r="J177" s="145"/>
      <c r="K177" s="145"/>
      <c r="L177" s="145"/>
      <c r="M177" s="145"/>
      <c r="N177" s="145"/>
      <c r="O177" s="145"/>
      <c r="P177" s="145"/>
      <c r="Q177" s="145"/>
    </row>
    <row r="178" spans="1:17" ht="15" x14ac:dyDescent="0.2">
      <c r="A178" s="145"/>
      <c r="B178" s="145"/>
      <c r="C178" s="145"/>
      <c r="D178" s="145"/>
      <c r="E178" s="145"/>
      <c r="F178" s="145"/>
      <c r="G178" s="145"/>
      <c r="H178" s="145"/>
      <c r="I178" s="145"/>
      <c r="J178" s="145"/>
      <c r="K178" s="145"/>
      <c r="L178" s="145"/>
      <c r="M178" s="145"/>
      <c r="N178" s="145"/>
      <c r="O178" s="145"/>
      <c r="P178" s="145"/>
      <c r="Q178" s="145"/>
    </row>
    <row r="179" spans="1:17" ht="15" x14ac:dyDescent="0.2">
      <c r="A179" s="145"/>
      <c r="B179" s="145"/>
      <c r="C179" s="145"/>
      <c r="D179" s="145"/>
      <c r="E179" s="145"/>
      <c r="F179" s="145"/>
      <c r="G179" s="145"/>
      <c r="H179" s="145"/>
      <c r="I179" s="145"/>
      <c r="J179" s="145"/>
      <c r="K179" s="145"/>
      <c r="L179" s="145"/>
      <c r="M179" s="145"/>
      <c r="N179" s="145"/>
      <c r="O179" s="145"/>
      <c r="P179" s="145"/>
      <c r="Q179" s="145"/>
    </row>
    <row r="180" spans="1:17" ht="15" x14ac:dyDescent="0.2">
      <c r="A180" s="145"/>
      <c r="B180" s="145"/>
      <c r="C180" s="145"/>
      <c r="D180" s="145"/>
      <c r="E180" s="145"/>
      <c r="F180" s="145"/>
      <c r="G180" s="145"/>
      <c r="H180" s="145"/>
      <c r="I180" s="145"/>
      <c r="J180" s="145"/>
      <c r="K180" s="145"/>
      <c r="L180" s="145"/>
      <c r="M180" s="145"/>
      <c r="N180" s="145"/>
      <c r="O180" s="145"/>
      <c r="P180" s="145"/>
      <c r="Q180" s="145"/>
    </row>
    <row r="181" spans="1:17" ht="15" x14ac:dyDescent="0.2">
      <c r="A181" s="145"/>
      <c r="B181" s="145"/>
      <c r="C181" s="145"/>
      <c r="D181" s="145"/>
      <c r="E181" s="145"/>
      <c r="F181" s="145"/>
      <c r="G181" s="145"/>
      <c r="H181" s="145"/>
      <c r="I181" s="145"/>
      <c r="J181" s="145"/>
      <c r="K181" s="145"/>
      <c r="L181" s="145"/>
      <c r="M181" s="145"/>
      <c r="N181" s="145"/>
      <c r="O181" s="145"/>
      <c r="P181" s="145"/>
      <c r="Q181" s="145"/>
    </row>
    <row r="182" spans="1:17" ht="15" x14ac:dyDescent="0.2">
      <c r="A182" s="145"/>
      <c r="B182" s="145"/>
      <c r="C182" s="145"/>
      <c r="D182" s="145"/>
      <c r="E182" s="145"/>
      <c r="F182" s="145"/>
      <c r="G182" s="145"/>
      <c r="H182" s="145"/>
      <c r="I182" s="145"/>
      <c r="J182" s="145"/>
      <c r="K182" s="145"/>
      <c r="L182" s="145"/>
      <c r="M182" s="145"/>
      <c r="N182" s="145"/>
      <c r="O182" s="145"/>
      <c r="P182" s="145"/>
      <c r="Q182" s="145"/>
    </row>
  </sheetData>
  <mergeCells count="7">
    <mergeCell ref="M63:P63"/>
    <mergeCell ref="C8:E8"/>
    <mergeCell ref="A47:D47"/>
    <mergeCell ref="E47:H47"/>
    <mergeCell ref="B56:D56"/>
    <mergeCell ref="E56:G56"/>
    <mergeCell ref="M56:P5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2"/>
  <sheetViews>
    <sheetView workbookViewId="0">
      <selection activeCell="D7" sqref="D7"/>
    </sheetView>
  </sheetViews>
  <sheetFormatPr baseColWidth="10" defaultColWidth="11.5" defaultRowHeight="15" x14ac:dyDescent="0.2"/>
  <cols>
    <col min="1" max="1" width="21" style="276" bestFit="1" customWidth="1"/>
    <col min="2" max="2" width="14.5" style="276" bestFit="1" customWidth="1"/>
    <col min="3" max="3" width="5.5" style="276" bestFit="1" customWidth="1"/>
    <col min="4" max="4" width="16.33203125" style="276" bestFit="1" customWidth="1"/>
    <col min="5" max="5" width="6.83203125" style="276" bestFit="1" customWidth="1"/>
    <col min="6" max="6" width="20.5" style="276" bestFit="1" customWidth="1"/>
    <col min="7" max="7" width="12" style="276" bestFit="1" customWidth="1"/>
    <col min="8" max="16384" width="11.5" style="276"/>
  </cols>
  <sheetData>
    <row r="1" spans="1:5" s="261" customFormat="1" x14ac:dyDescent="0.2">
      <c r="A1" s="261" t="s">
        <v>483</v>
      </c>
    </row>
    <row r="2" spans="1:5" s="261" customFormat="1" x14ac:dyDescent="0.2"/>
    <row r="3" spans="1:5" s="261" customFormat="1" x14ac:dyDescent="0.2">
      <c r="A3" s="261" t="s">
        <v>484</v>
      </c>
      <c r="B3" s="274">
        <v>10560</v>
      </c>
      <c r="C3" s="261" t="s">
        <v>485</v>
      </c>
    </row>
    <row r="4" spans="1:5" s="261" customFormat="1" x14ac:dyDescent="0.2">
      <c r="A4" s="261" t="s">
        <v>156</v>
      </c>
      <c r="B4" s="274">
        <v>3040</v>
      </c>
    </row>
    <row r="5" spans="1:5" s="261" customFormat="1" x14ac:dyDescent="0.2"/>
    <row r="6" spans="1:5" s="261" customFormat="1" x14ac:dyDescent="0.2">
      <c r="A6" s="262"/>
      <c r="B6" s="262" t="s">
        <v>35</v>
      </c>
      <c r="C6" s="262"/>
      <c r="D6" s="262" t="s">
        <v>486</v>
      </c>
      <c r="E6" s="262"/>
    </row>
    <row r="7" spans="1:5" x14ac:dyDescent="0.2">
      <c r="A7" s="262" t="s">
        <v>487</v>
      </c>
      <c r="B7" s="275">
        <v>1000</v>
      </c>
      <c r="C7" s="262" t="s">
        <v>473</v>
      </c>
      <c r="D7" s="262">
        <v>0.3</v>
      </c>
      <c r="E7" s="262" t="s">
        <v>488</v>
      </c>
    </row>
    <row r="8" spans="1:5" x14ac:dyDescent="0.2">
      <c r="A8" s="262" t="s">
        <v>489</v>
      </c>
      <c r="B8" s="275">
        <v>2500</v>
      </c>
      <c r="C8" s="262" t="s">
        <v>473</v>
      </c>
      <c r="D8" s="262">
        <v>0.5</v>
      </c>
      <c r="E8" s="262" t="s">
        <v>488</v>
      </c>
    </row>
    <row r="9" spans="1:5" x14ac:dyDescent="0.2">
      <c r="A9" s="262" t="s">
        <v>490</v>
      </c>
      <c r="B9" s="275">
        <v>650</v>
      </c>
      <c r="C9" s="262" t="s">
        <v>473</v>
      </c>
      <c r="D9" s="262">
        <v>0.2</v>
      </c>
      <c r="E9" s="262" t="s">
        <v>488</v>
      </c>
    </row>
    <row r="10" spans="1:5" x14ac:dyDescent="0.2">
      <c r="A10" s="262" t="s">
        <v>491</v>
      </c>
      <c r="B10" s="275">
        <v>800</v>
      </c>
      <c r="C10" s="262" t="s">
        <v>473</v>
      </c>
      <c r="D10" s="262">
        <v>0.7</v>
      </c>
      <c r="E10" s="262" t="s">
        <v>488</v>
      </c>
    </row>
    <row r="11" spans="1:5" x14ac:dyDescent="0.2">
      <c r="A11" s="262" t="s">
        <v>492</v>
      </c>
      <c r="B11" s="275">
        <v>2000</v>
      </c>
      <c r="C11" s="262" t="s">
        <v>473</v>
      </c>
      <c r="D11" s="262">
        <v>0.4</v>
      </c>
      <c r="E11" s="262" t="s">
        <v>488</v>
      </c>
    </row>
    <row r="12" spans="1:5" s="261" customFormat="1" x14ac:dyDescent="0.2"/>
    <row r="13" spans="1:5" s="261" customFormat="1" x14ac:dyDescent="0.2">
      <c r="A13" s="479" t="s">
        <v>493</v>
      </c>
      <c r="B13" s="479"/>
      <c r="C13" s="479"/>
    </row>
    <row r="14" spans="1:5" s="261" customFormat="1" x14ac:dyDescent="0.2"/>
    <row r="15" spans="1:5" s="261" customFormat="1" x14ac:dyDescent="0.2">
      <c r="A15" s="261" t="s">
        <v>484</v>
      </c>
      <c r="B15" s="274">
        <v>10560</v>
      </c>
      <c r="C15" s="261" t="s">
        <v>485</v>
      </c>
    </row>
    <row r="16" spans="1:5" s="261" customFormat="1" x14ac:dyDescent="0.2"/>
    <row r="17" spans="1:5" x14ac:dyDescent="0.2">
      <c r="A17" s="262"/>
      <c r="B17" s="262" t="s">
        <v>35</v>
      </c>
      <c r="C17" s="262"/>
      <c r="D17" s="277" t="s">
        <v>494</v>
      </c>
    </row>
    <row r="18" spans="1:5" x14ac:dyDescent="0.2">
      <c r="A18" s="262" t="s">
        <v>487</v>
      </c>
      <c r="B18" s="275">
        <v>1000</v>
      </c>
      <c r="C18" s="262" t="s">
        <v>473</v>
      </c>
      <c r="D18" s="262">
        <f>B37*B24</f>
        <v>1519.4244604316548</v>
      </c>
      <c r="E18" s="262" t="s">
        <v>485</v>
      </c>
    </row>
    <row r="19" spans="1:5" x14ac:dyDescent="0.2">
      <c r="A19" s="262" t="s">
        <v>489</v>
      </c>
      <c r="B19" s="275">
        <v>2500</v>
      </c>
      <c r="C19" s="262" t="s">
        <v>473</v>
      </c>
      <c r="D19" s="262">
        <f>B38*B24</f>
        <v>3798.5611510791368</v>
      </c>
      <c r="E19" s="262" t="s">
        <v>485</v>
      </c>
    </row>
    <row r="20" spans="1:5" x14ac:dyDescent="0.2">
      <c r="A20" s="262" t="s">
        <v>490</v>
      </c>
      <c r="B20" s="275">
        <v>650</v>
      </c>
      <c r="C20" s="262" t="s">
        <v>473</v>
      </c>
      <c r="D20" s="262">
        <f>B24*B39</f>
        <v>987.6258992805756</v>
      </c>
      <c r="E20" s="262" t="s">
        <v>485</v>
      </c>
    </row>
    <row r="21" spans="1:5" x14ac:dyDescent="0.2">
      <c r="A21" s="262" t="s">
        <v>491</v>
      </c>
      <c r="B21" s="275">
        <v>800</v>
      </c>
      <c r="C21" s="262" t="s">
        <v>473</v>
      </c>
      <c r="D21" s="262">
        <f>B40*B24</f>
        <v>1215.5395683453237</v>
      </c>
      <c r="E21" s="262" t="s">
        <v>485</v>
      </c>
    </row>
    <row r="22" spans="1:5" x14ac:dyDescent="0.2">
      <c r="A22" s="262" t="s">
        <v>492</v>
      </c>
      <c r="B22" s="275">
        <v>2000</v>
      </c>
      <c r="C22" s="262" t="s">
        <v>473</v>
      </c>
      <c r="D22" s="262">
        <f>B41*B24</f>
        <v>3038.8489208633096</v>
      </c>
      <c r="E22" s="262" t="s">
        <v>485</v>
      </c>
    </row>
    <row r="23" spans="1:5" x14ac:dyDescent="0.2">
      <c r="A23" s="262"/>
      <c r="B23" s="275">
        <f>SUM(B37:B41)</f>
        <v>6950</v>
      </c>
      <c r="C23" s="262"/>
      <c r="D23" s="275">
        <f>SUM(D18:D22)</f>
        <v>10560</v>
      </c>
    </row>
    <row r="24" spans="1:5" s="261" customFormat="1" x14ac:dyDescent="0.2">
      <c r="A24" s="262" t="s">
        <v>495</v>
      </c>
      <c r="B24" s="278">
        <f>B3/B23</f>
        <v>1.5194244604316547</v>
      </c>
    </row>
    <row r="25" spans="1:5" s="261" customFormat="1" x14ac:dyDescent="0.2"/>
    <row r="26" spans="1:5" s="261" customFormat="1" x14ac:dyDescent="0.2"/>
    <row r="27" spans="1:5" s="261" customFormat="1" x14ac:dyDescent="0.2"/>
    <row r="28" spans="1:5" s="261" customFormat="1" x14ac:dyDescent="0.2">
      <c r="A28" s="479" t="s">
        <v>496</v>
      </c>
      <c r="B28" s="479"/>
      <c r="C28" s="479"/>
      <c r="D28" s="479"/>
    </row>
    <row r="29" spans="1:5" s="261" customFormat="1" x14ac:dyDescent="0.2"/>
    <row r="30" spans="1:5" s="261" customFormat="1" x14ac:dyDescent="0.2"/>
    <row r="31" spans="1:5" s="261" customFormat="1" x14ac:dyDescent="0.2">
      <c r="A31" s="261" t="s">
        <v>484</v>
      </c>
      <c r="B31" s="274">
        <v>10560</v>
      </c>
      <c r="C31" s="261" t="s">
        <v>485</v>
      </c>
    </row>
    <row r="32" spans="1:5" s="261" customFormat="1" x14ac:dyDescent="0.2">
      <c r="A32" s="261" t="s">
        <v>156</v>
      </c>
      <c r="B32" s="274">
        <v>3040</v>
      </c>
    </row>
    <row r="33" spans="1:7" s="261" customFormat="1" x14ac:dyDescent="0.2">
      <c r="A33" s="261" t="s">
        <v>495</v>
      </c>
      <c r="B33" s="279">
        <f>B31/B32</f>
        <v>3.4736842105263159</v>
      </c>
    </row>
    <row r="34" spans="1:7" s="261" customFormat="1" x14ac:dyDescent="0.2"/>
    <row r="35" spans="1:7" s="261" customFormat="1" x14ac:dyDescent="0.2"/>
    <row r="36" spans="1:7" x14ac:dyDescent="0.2">
      <c r="A36" s="261"/>
      <c r="B36" s="262" t="s">
        <v>35</v>
      </c>
      <c r="C36" s="262"/>
      <c r="D36" s="262" t="s">
        <v>486</v>
      </c>
      <c r="E36" s="262"/>
      <c r="F36" s="262" t="s">
        <v>497</v>
      </c>
      <c r="G36" s="262" t="s">
        <v>484</v>
      </c>
    </row>
    <row r="37" spans="1:7" x14ac:dyDescent="0.2">
      <c r="A37" s="262" t="s">
        <v>487</v>
      </c>
      <c r="B37" s="275">
        <v>1000</v>
      </c>
      <c r="C37" s="262" t="s">
        <v>473</v>
      </c>
      <c r="D37" s="262">
        <v>0.3</v>
      </c>
      <c r="E37" s="262" t="s">
        <v>488</v>
      </c>
      <c r="F37" s="275">
        <f>B37*D37</f>
        <v>300</v>
      </c>
      <c r="G37" s="262">
        <f>F37*B33</f>
        <v>1042.1052631578948</v>
      </c>
    </row>
    <row r="38" spans="1:7" x14ac:dyDescent="0.2">
      <c r="A38" s="262" t="s">
        <v>489</v>
      </c>
      <c r="B38" s="275">
        <v>2500</v>
      </c>
      <c r="C38" s="262" t="s">
        <v>473</v>
      </c>
      <c r="D38" s="262">
        <v>0.5</v>
      </c>
      <c r="E38" s="262" t="s">
        <v>488</v>
      </c>
      <c r="F38" s="275">
        <f>B38*D38</f>
        <v>1250</v>
      </c>
      <c r="G38" s="262">
        <f>F38*B33</f>
        <v>4342.105263157895</v>
      </c>
    </row>
    <row r="39" spans="1:7" x14ac:dyDescent="0.2">
      <c r="A39" s="262" t="s">
        <v>490</v>
      </c>
      <c r="B39" s="275">
        <v>650</v>
      </c>
      <c r="C39" s="262" t="s">
        <v>473</v>
      </c>
      <c r="D39" s="262">
        <v>0.2</v>
      </c>
      <c r="E39" s="262" t="s">
        <v>488</v>
      </c>
      <c r="F39" s="275">
        <f>B39*D39</f>
        <v>130</v>
      </c>
      <c r="G39" s="262">
        <f>F39*B33</f>
        <v>451.5789473684211</v>
      </c>
    </row>
    <row r="40" spans="1:7" x14ac:dyDescent="0.2">
      <c r="A40" s="262" t="s">
        <v>491</v>
      </c>
      <c r="B40" s="275">
        <v>800</v>
      </c>
      <c r="C40" s="262" t="s">
        <v>473</v>
      </c>
      <c r="D40" s="262">
        <v>0.7</v>
      </c>
      <c r="E40" s="262" t="s">
        <v>488</v>
      </c>
      <c r="F40" s="275">
        <f>B40*D40</f>
        <v>560</v>
      </c>
      <c r="G40" s="262">
        <f>F40*B33</f>
        <v>1945.2631578947369</v>
      </c>
    </row>
    <row r="41" spans="1:7" x14ac:dyDescent="0.2">
      <c r="A41" s="262" t="s">
        <v>492</v>
      </c>
      <c r="B41" s="275">
        <v>2000</v>
      </c>
      <c r="C41" s="262" t="s">
        <v>473</v>
      </c>
      <c r="D41" s="262">
        <v>0.4</v>
      </c>
      <c r="E41" s="262" t="s">
        <v>488</v>
      </c>
      <c r="F41" s="275">
        <f>B41*D41</f>
        <v>800</v>
      </c>
      <c r="G41" s="262">
        <f>F41*B33</f>
        <v>2778.9473684210529</v>
      </c>
    </row>
    <row r="42" spans="1:7" x14ac:dyDescent="0.2">
      <c r="A42" s="261"/>
      <c r="B42" s="261"/>
      <c r="C42" s="261"/>
      <c r="D42" s="261"/>
      <c r="E42" s="261"/>
      <c r="F42" s="275">
        <f>SUM(F37:F41)</f>
        <v>3040</v>
      </c>
      <c r="G42" s="275">
        <f>SUM(G37:G41)</f>
        <v>10560</v>
      </c>
    </row>
  </sheetData>
  <mergeCells count="2">
    <mergeCell ref="A13:C13"/>
    <mergeCell ref="A28:D2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23"/>
  <sheetViews>
    <sheetView topLeftCell="A74" workbookViewId="0">
      <selection activeCell="A81" sqref="A81:B83"/>
    </sheetView>
  </sheetViews>
  <sheetFormatPr baseColWidth="10" defaultColWidth="10.33203125" defaultRowHeight="15" x14ac:dyDescent="0.2"/>
  <cols>
    <col min="1" max="1" width="34.5" style="131" customWidth="1"/>
    <col min="2" max="2" width="15.1640625" style="139" customWidth="1"/>
    <col min="3" max="3" width="20.1640625" style="139" customWidth="1"/>
    <col min="4" max="4" width="13.6640625" style="139" bestFit="1" customWidth="1"/>
    <col min="5" max="5" width="21.5" style="139" customWidth="1"/>
    <col min="6" max="6" width="21.83203125" style="139" customWidth="1"/>
    <col min="7" max="8" width="12.83203125" style="139" customWidth="1"/>
    <col min="9" max="9" width="32.5" style="131" customWidth="1"/>
    <col min="10" max="10" width="20.83203125" style="131" bestFit="1" customWidth="1"/>
    <col min="11" max="11" width="16" style="131" customWidth="1"/>
    <col min="12" max="12" width="20" style="131" customWidth="1"/>
    <col min="13" max="13" width="14.5" style="131" bestFit="1" customWidth="1"/>
    <col min="14" max="16384" width="10.33203125" style="131"/>
  </cols>
  <sheetData>
    <row r="1" spans="1:14" ht="16" thickBot="1" x14ac:dyDescent="0.25">
      <c r="A1" s="131" t="s">
        <v>498</v>
      </c>
    </row>
    <row r="2" spans="1:14" x14ac:dyDescent="0.2">
      <c r="A2" s="131" t="s">
        <v>499</v>
      </c>
      <c r="I2" s="184" t="s">
        <v>500</v>
      </c>
      <c r="J2" s="185"/>
      <c r="K2" s="185"/>
      <c r="L2" s="185"/>
      <c r="M2" s="185"/>
      <c r="N2" s="186"/>
    </row>
    <row r="3" spans="1:14" x14ac:dyDescent="0.2">
      <c r="C3" s="139" t="s">
        <v>501</v>
      </c>
      <c r="I3" s="187"/>
      <c r="J3" s="139"/>
      <c r="K3" s="139"/>
      <c r="L3" s="139"/>
      <c r="M3" s="139"/>
      <c r="N3" s="188"/>
    </row>
    <row r="4" spans="1:14" ht="33" thickBot="1" x14ac:dyDescent="0.25">
      <c r="A4" s="135" t="s">
        <v>502</v>
      </c>
      <c r="B4" s="135" t="s">
        <v>503</v>
      </c>
      <c r="C4" s="280" t="s">
        <v>504</v>
      </c>
      <c r="D4" s="280" t="s">
        <v>505</v>
      </c>
      <c r="E4" s="280" t="s">
        <v>506</v>
      </c>
      <c r="F4" s="280" t="s">
        <v>507</v>
      </c>
      <c r="G4" s="280" t="s">
        <v>508</v>
      </c>
      <c r="H4" s="281" t="s">
        <v>509</v>
      </c>
      <c r="I4" s="187"/>
      <c r="J4" s="139"/>
      <c r="K4" s="139"/>
      <c r="L4" s="139"/>
      <c r="M4" s="139"/>
      <c r="N4" s="188"/>
    </row>
    <row r="5" spans="1:14" ht="18" thickBot="1" x14ac:dyDescent="0.25">
      <c r="A5" s="135" t="s">
        <v>510</v>
      </c>
      <c r="B5" s="135">
        <f>432000/40/12</f>
        <v>900</v>
      </c>
      <c r="C5" s="141">
        <f>900/3/2</f>
        <v>150</v>
      </c>
      <c r="D5" s="141">
        <f>900/3/2</f>
        <v>150</v>
      </c>
      <c r="E5" s="141">
        <f>0.8*900/3</f>
        <v>240</v>
      </c>
      <c r="F5" s="141">
        <f>0.2*900/3</f>
        <v>60</v>
      </c>
      <c r="G5" s="141"/>
      <c r="H5" s="282">
        <f>900/3</f>
        <v>300</v>
      </c>
      <c r="I5" s="283" t="s">
        <v>511</v>
      </c>
      <c r="J5" s="284" t="s">
        <v>512</v>
      </c>
      <c r="K5" s="284" t="s">
        <v>513</v>
      </c>
      <c r="L5" s="139"/>
      <c r="M5" s="139"/>
      <c r="N5" s="188"/>
    </row>
    <row r="6" spans="1:14" ht="18" thickBot="1" x14ac:dyDescent="0.25">
      <c r="A6" s="135" t="s">
        <v>514</v>
      </c>
      <c r="B6" s="135">
        <f>120000/10/12</f>
        <v>1000</v>
      </c>
      <c r="C6" s="135"/>
      <c r="D6" s="135"/>
      <c r="E6" s="135">
        <v>1000</v>
      </c>
      <c r="F6" s="135"/>
      <c r="G6" s="135"/>
      <c r="H6" s="285"/>
      <c r="I6" s="286" t="s">
        <v>515</v>
      </c>
      <c r="J6" s="287">
        <v>100000</v>
      </c>
      <c r="K6" s="288"/>
      <c r="L6" s="139"/>
      <c r="M6" s="139"/>
      <c r="N6" s="188"/>
    </row>
    <row r="7" spans="1:14" ht="18" thickBot="1" x14ac:dyDescent="0.25">
      <c r="A7" s="135" t="s">
        <v>516</v>
      </c>
      <c r="B7" s="135">
        <f>60000/10/12</f>
        <v>500</v>
      </c>
      <c r="C7" s="135"/>
      <c r="D7" s="135"/>
      <c r="E7" s="135"/>
      <c r="F7" s="135">
        <v>500</v>
      </c>
      <c r="G7" s="135"/>
      <c r="H7" s="285"/>
      <c r="I7" s="286" t="s">
        <v>517</v>
      </c>
      <c r="J7" s="287">
        <v>432000</v>
      </c>
      <c r="K7" s="288" t="s">
        <v>518</v>
      </c>
      <c r="L7" s="139"/>
      <c r="M7" s="139"/>
      <c r="N7" s="188"/>
    </row>
    <row r="8" spans="1:14" ht="18" thickBot="1" x14ac:dyDescent="0.25">
      <c r="A8" s="135" t="s">
        <v>519</v>
      </c>
      <c r="B8" s="135">
        <f>180000/5/12</f>
        <v>3000</v>
      </c>
      <c r="C8" s="135"/>
      <c r="D8" s="135"/>
      <c r="E8" s="135"/>
      <c r="F8" s="135"/>
      <c r="G8" s="135">
        <v>3000</v>
      </c>
      <c r="H8" s="285"/>
      <c r="I8" s="286" t="s">
        <v>520</v>
      </c>
      <c r="J8" s="287">
        <v>120000</v>
      </c>
      <c r="K8" s="288" t="s">
        <v>521</v>
      </c>
      <c r="L8" s="139"/>
      <c r="M8" s="139"/>
      <c r="N8" s="188"/>
    </row>
    <row r="9" spans="1:14" ht="18" thickBot="1" x14ac:dyDescent="0.25">
      <c r="A9" s="133" t="s">
        <v>522</v>
      </c>
      <c r="B9" s="133">
        <v>300</v>
      </c>
      <c r="C9" s="133">
        <v>50</v>
      </c>
      <c r="D9" s="133">
        <v>50</v>
      </c>
      <c r="E9" s="133">
        <v>80</v>
      </c>
      <c r="F9" s="133">
        <v>20</v>
      </c>
      <c r="G9" s="133"/>
      <c r="H9" s="289">
        <v>100</v>
      </c>
      <c r="I9" s="286" t="s">
        <v>523</v>
      </c>
      <c r="J9" s="287">
        <v>60000</v>
      </c>
      <c r="K9" s="288" t="s">
        <v>521</v>
      </c>
      <c r="L9" s="139"/>
      <c r="M9" s="139"/>
      <c r="N9" s="188"/>
    </row>
    <row r="10" spans="1:14" ht="18" thickBot="1" x14ac:dyDescent="0.25">
      <c r="A10" s="135" t="s">
        <v>524</v>
      </c>
      <c r="B10" s="135">
        <v>3000</v>
      </c>
      <c r="C10" s="135"/>
      <c r="D10" s="135"/>
      <c r="E10" s="135"/>
      <c r="F10" s="135"/>
      <c r="G10" s="135"/>
      <c r="H10" s="285">
        <v>3000</v>
      </c>
      <c r="I10" s="286" t="s">
        <v>279</v>
      </c>
      <c r="J10" s="287">
        <v>180000</v>
      </c>
      <c r="K10" s="288" t="s">
        <v>525</v>
      </c>
      <c r="L10" s="139"/>
      <c r="M10" s="139"/>
      <c r="N10" s="188"/>
    </row>
    <row r="11" spans="1:14" x14ac:dyDescent="0.2">
      <c r="A11" s="135" t="s">
        <v>526</v>
      </c>
      <c r="B11" s="135">
        <v>500</v>
      </c>
      <c r="C11" s="135"/>
      <c r="D11" s="135"/>
      <c r="E11" s="135"/>
      <c r="F11" s="135"/>
      <c r="G11" s="135"/>
      <c r="H11" s="285">
        <v>500</v>
      </c>
      <c r="I11" s="187"/>
      <c r="J11" s="139"/>
      <c r="K11" s="139"/>
      <c r="L11" s="139"/>
      <c r="M11" s="139"/>
      <c r="N11" s="188"/>
    </row>
    <row r="12" spans="1:14" x14ac:dyDescent="0.2">
      <c r="A12" s="135" t="s">
        <v>306</v>
      </c>
      <c r="B12" s="135">
        <f>64500+15400</f>
        <v>79900</v>
      </c>
      <c r="C12" s="135"/>
      <c r="D12" s="135">
        <v>3550</v>
      </c>
      <c r="E12" s="135">
        <v>24180</v>
      </c>
      <c r="F12" s="135">
        <v>19170</v>
      </c>
      <c r="G12" s="135">
        <f>4000+12000</f>
        <v>16000</v>
      </c>
      <c r="H12" s="285">
        <f>6000+8000+3000</f>
        <v>17000</v>
      </c>
      <c r="I12" s="130" t="s">
        <v>527</v>
      </c>
      <c r="J12" s="130" t="s">
        <v>528</v>
      </c>
      <c r="K12" s="130" t="s">
        <v>529</v>
      </c>
      <c r="L12" s="139"/>
      <c r="M12" s="139"/>
      <c r="N12" s="188"/>
    </row>
    <row r="13" spans="1:14" x14ac:dyDescent="0.2">
      <c r="A13" s="135" t="s">
        <v>304</v>
      </c>
      <c r="B13" s="135">
        <v>1000</v>
      </c>
      <c r="C13" s="135"/>
      <c r="D13" s="135"/>
      <c r="E13" s="135"/>
      <c r="F13" s="135"/>
      <c r="G13" s="135">
        <v>1000</v>
      </c>
      <c r="H13" s="285"/>
      <c r="I13" s="130" t="s">
        <v>530</v>
      </c>
      <c r="J13" s="130" t="s">
        <v>531</v>
      </c>
      <c r="K13" s="130">
        <v>4950</v>
      </c>
      <c r="L13" s="139"/>
      <c r="M13" s="139"/>
      <c r="N13" s="188"/>
    </row>
    <row r="14" spans="1:14" x14ac:dyDescent="0.2">
      <c r="A14" s="135" t="s">
        <v>532</v>
      </c>
      <c r="B14" s="290">
        <v>8000</v>
      </c>
      <c r="C14" s="135"/>
      <c r="D14" s="135"/>
      <c r="E14" s="135"/>
      <c r="F14" s="290">
        <v>8000</v>
      </c>
      <c r="G14" s="135"/>
      <c r="H14" s="285"/>
      <c r="I14" s="130" t="s">
        <v>533</v>
      </c>
      <c r="J14" s="130" t="s">
        <v>534</v>
      </c>
      <c r="K14" s="130">
        <v>15000</v>
      </c>
      <c r="L14" s="139"/>
      <c r="M14" s="139"/>
      <c r="N14" s="188"/>
    </row>
    <row r="15" spans="1:14" x14ac:dyDescent="0.2">
      <c r="A15" s="135" t="s">
        <v>535</v>
      </c>
      <c r="B15" s="291">
        <v>1500</v>
      </c>
      <c r="C15" s="135"/>
      <c r="D15" s="135"/>
      <c r="E15" s="135"/>
      <c r="F15" s="135"/>
      <c r="G15" s="291">
        <v>1500</v>
      </c>
      <c r="H15" s="285"/>
      <c r="I15" s="130" t="s">
        <v>536</v>
      </c>
      <c r="J15" s="130" t="s">
        <v>537</v>
      </c>
      <c r="K15" s="130">
        <v>52500</v>
      </c>
      <c r="L15" s="139"/>
      <c r="M15" s="139"/>
      <c r="N15" s="188"/>
    </row>
    <row r="16" spans="1:14" x14ac:dyDescent="0.2">
      <c r="A16" s="280" t="s">
        <v>538</v>
      </c>
      <c r="B16" s="280">
        <f t="shared" ref="B16:H16" si="0">SUM(B5:B15)</f>
        <v>99600</v>
      </c>
      <c r="C16" s="280">
        <f t="shared" si="0"/>
        <v>200</v>
      </c>
      <c r="D16" s="280">
        <f t="shared" si="0"/>
        <v>3750</v>
      </c>
      <c r="E16" s="280">
        <f t="shared" si="0"/>
        <v>25500</v>
      </c>
      <c r="F16" s="280">
        <f t="shared" si="0"/>
        <v>27750</v>
      </c>
      <c r="G16" s="280">
        <f t="shared" si="0"/>
        <v>21500</v>
      </c>
      <c r="H16" s="292">
        <f t="shared" si="0"/>
        <v>20900</v>
      </c>
      <c r="I16" s="187"/>
      <c r="J16" s="139"/>
      <c r="K16" s="139"/>
      <c r="L16" s="139"/>
      <c r="M16" s="139"/>
      <c r="N16" s="188"/>
    </row>
    <row r="17" spans="1:14" s="296" customFormat="1" x14ac:dyDescent="0.2">
      <c r="A17" s="293" t="s">
        <v>539</v>
      </c>
      <c r="B17" s="293"/>
      <c r="C17" s="293">
        <v>200</v>
      </c>
      <c r="D17" s="293">
        <f>D16*0.5</f>
        <v>1875</v>
      </c>
      <c r="E17" s="293">
        <f>E16*0.8</f>
        <v>20400</v>
      </c>
      <c r="F17" s="293">
        <f>F16*0.8</f>
        <v>22200</v>
      </c>
      <c r="G17" s="293">
        <v>21500</v>
      </c>
      <c r="H17" s="293"/>
      <c r="I17" s="294"/>
      <c r="J17" s="294"/>
      <c r="K17" s="294"/>
      <c r="L17" s="294"/>
      <c r="M17" s="294"/>
      <c r="N17" s="295"/>
    </row>
    <row r="18" spans="1:14" s="296" customFormat="1" x14ac:dyDescent="0.2">
      <c r="A18" s="293" t="s">
        <v>540</v>
      </c>
      <c r="B18" s="293"/>
      <c r="C18" s="293"/>
      <c r="D18" s="293">
        <v>1875</v>
      </c>
      <c r="E18" s="293">
        <f>E16*0.2</f>
        <v>5100</v>
      </c>
      <c r="F18" s="293">
        <f>F16*0.2</f>
        <v>5550</v>
      </c>
      <c r="G18" s="293"/>
      <c r="H18" s="293">
        <v>20900</v>
      </c>
      <c r="I18" s="294"/>
      <c r="J18" s="294"/>
      <c r="K18" s="294"/>
      <c r="L18" s="294"/>
      <c r="M18" s="294"/>
      <c r="N18" s="295"/>
    </row>
    <row r="19" spans="1:14" s="296" customFormat="1" x14ac:dyDescent="0.2">
      <c r="A19" s="293" t="s">
        <v>541</v>
      </c>
      <c r="B19" s="293"/>
      <c r="C19" s="293"/>
      <c r="D19" s="293"/>
      <c r="E19" s="293"/>
      <c r="F19" s="293"/>
      <c r="G19" s="293"/>
      <c r="H19" s="293"/>
      <c r="I19" s="294"/>
      <c r="J19" s="294"/>
      <c r="K19" s="294"/>
      <c r="L19" s="294"/>
      <c r="M19" s="294"/>
      <c r="N19" s="295"/>
    </row>
    <row r="20" spans="1:14" s="296" customFormat="1" x14ac:dyDescent="0.2">
      <c r="A20" s="293" t="s">
        <v>542</v>
      </c>
      <c r="B20" s="293"/>
      <c r="C20" s="293">
        <v>500</v>
      </c>
      <c r="D20" s="293">
        <v>8000</v>
      </c>
      <c r="E20" s="293">
        <v>100000</v>
      </c>
      <c r="F20" s="293">
        <v>12000</v>
      </c>
      <c r="G20" s="293">
        <v>10000</v>
      </c>
      <c r="H20" s="293"/>
      <c r="I20" s="294"/>
      <c r="J20" s="294"/>
      <c r="K20" s="294"/>
      <c r="L20" s="294"/>
      <c r="M20" s="294"/>
      <c r="N20" s="295"/>
    </row>
    <row r="21" spans="1:14" s="296" customFormat="1" x14ac:dyDescent="0.2">
      <c r="A21" s="293" t="s">
        <v>543</v>
      </c>
      <c r="B21" s="293"/>
      <c r="C21" s="293">
        <v>1000</v>
      </c>
      <c r="D21" s="293">
        <v>10000</v>
      </c>
      <c r="E21" s="293">
        <v>120000</v>
      </c>
      <c r="F21" s="293">
        <v>15000</v>
      </c>
      <c r="G21" s="293"/>
      <c r="H21" s="293"/>
      <c r="I21" s="294"/>
      <c r="J21" s="294"/>
      <c r="K21" s="294"/>
      <c r="L21" s="294"/>
      <c r="M21" s="294"/>
      <c r="N21" s="295"/>
    </row>
    <row r="22" spans="1:14" s="300" customFormat="1" x14ac:dyDescent="0.2">
      <c r="A22" s="297" t="s">
        <v>544</v>
      </c>
      <c r="B22" s="297"/>
      <c r="C22" s="297">
        <f>C20/C21</f>
        <v>0.5</v>
      </c>
      <c r="D22" s="297">
        <f>D20/D21</f>
        <v>0.8</v>
      </c>
      <c r="E22" s="297">
        <f>E20/E21</f>
        <v>0.83333333333333337</v>
      </c>
      <c r="F22" s="297">
        <f>F20/F21</f>
        <v>0.8</v>
      </c>
      <c r="G22" s="297"/>
      <c r="H22" s="297"/>
      <c r="I22" s="298"/>
      <c r="J22" s="298"/>
      <c r="K22" s="298"/>
      <c r="L22" s="298"/>
      <c r="M22" s="298"/>
      <c r="N22" s="299"/>
    </row>
    <row r="23" spans="1:14" s="304" customFormat="1" x14ac:dyDescent="0.2">
      <c r="A23" s="301" t="s">
        <v>545</v>
      </c>
      <c r="B23" s="301"/>
      <c r="C23" s="301">
        <f>1-C22</f>
        <v>0.5</v>
      </c>
      <c r="D23" s="301">
        <f>1-D22</f>
        <v>0.19999999999999996</v>
      </c>
      <c r="E23" s="301">
        <f>1-E22</f>
        <v>0.16666666666666663</v>
      </c>
      <c r="F23" s="301">
        <f>1-F22</f>
        <v>0.19999999999999996</v>
      </c>
      <c r="G23" s="301"/>
      <c r="H23" s="301"/>
      <c r="I23" s="302"/>
      <c r="J23" s="302"/>
      <c r="K23" s="302"/>
      <c r="L23" s="302"/>
      <c r="M23" s="302"/>
      <c r="N23" s="303"/>
    </row>
    <row r="24" spans="1:14" s="296" customFormat="1" x14ac:dyDescent="0.2">
      <c r="A24" s="293" t="s">
        <v>546</v>
      </c>
      <c r="B24" s="293"/>
      <c r="C24" s="293">
        <f>C18*C22</f>
        <v>0</v>
      </c>
      <c r="D24" s="293">
        <f>D18*D22</f>
        <v>1500</v>
      </c>
      <c r="E24" s="293">
        <f>E18*E22</f>
        <v>4250</v>
      </c>
      <c r="F24" s="293">
        <f>F18*F22</f>
        <v>4440</v>
      </c>
      <c r="G24" s="293"/>
      <c r="H24" s="293"/>
      <c r="I24" s="294"/>
      <c r="J24" s="294"/>
      <c r="K24" s="294"/>
      <c r="L24" s="294"/>
      <c r="M24" s="294"/>
      <c r="N24" s="295"/>
    </row>
    <row r="25" spans="1:14" s="296" customFormat="1" x14ac:dyDescent="0.2">
      <c r="A25" s="293" t="s">
        <v>547</v>
      </c>
      <c r="B25" s="293"/>
      <c r="C25" s="293"/>
      <c r="D25" s="293">
        <f>D18*D23</f>
        <v>374.99999999999994</v>
      </c>
      <c r="E25" s="293">
        <f>E18*E23</f>
        <v>849.99999999999977</v>
      </c>
      <c r="F25" s="293">
        <f>F18*F23</f>
        <v>1109.9999999999998</v>
      </c>
      <c r="G25" s="293"/>
      <c r="H25" s="293"/>
      <c r="I25" s="294"/>
      <c r="J25" s="294"/>
      <c r="K25" s="294"/>
      <c r="L25" s="294"/>
      <c r="M25" s="294"/>
      <c r="N25" s="295"/>
    </row>
    <row r="26" spans="1:14" x14ac:dyDescent="0.2">
      <c r="A26" s="305" t="s">
        <v>548</v>
      </c>
      <c r="B26" s="305"/>
      <c r="C26" s="305">
        <f>C17+C24</f>
        <v>200</v>
      </c>
      <c r="D26" s="305">
        <f>D17+D24</f>
        <v>3375</v>
      </c>
      <c r="E26" s="305">
        <f>E17+E24</f>
        <v>24650</v>
      </c>
      <c r="F26" s="305">
        <f>F17+F24</f>
        <v>26640</v>
      </c>
      <c r="G26" s="305"/>
      <c r="H26" s="305"/>
      <c r="I26" s="139"/>
      <c r="J26" s="139"/>
      <c r="K26" s="139"/>
      <c r="L26" s="139"/>
      <c r="M26" s="139"/>
      <c r="N26" s="188"/>
    </row>
    <row r="27" spans="1:14" x14ac:dyDescent="0.2">
      <c r="D27" s="139">
        <f>D25+D26</f>
        <v>3750</v>
      </c>
      <c r="I27" s="130" t="s">
        <v>549</v>
      </c>
      <c r="J27" s="130"/>
      <c r="K27" s="130"/>
      <c r="L27" s="139"/>
      <c r="M27" s="139"/>
      <c r="N27" s="188"/>
    </row>
    <row r="28" spans="1:14" x14ac:dyDescent="0.2">
      <c r="A28" s="131" t="s">
        <v>550</v>
      </c>
      <c r="I28" s="130" t="s">
        <v>527</v>
      </c>
      <c r="J28" s="130" t="s">
        <v>528</v>
      </c>
      <c r="K28" s="130" t="s">
        <v>529</v>
      </c>
      <c r="L28" s="139"/>
      <c r="M28" s="139"/>
      <c r="N28" s="188"/>
    </row>
    <row r="29" spans="1:14" x14ac:dyDescent="0.2">
      <c r="A29" s="131" t="s">
        <v>551</v>
      </c>
      <c r="I29" s="130" t="s">
        <v>552</v>
      </c>
      <c r="J29" s="130" t="s">
        <v>553</v>
      </c>
      <c r="K29" s="130">
        <v>53550</v>
      </c>
      <c r="L29" s="139"/>
      <c r="M29" s="139"/>
      <c r="N29" s="188"/>
    </row>
    <row r="30" spans="1:14" x14ac:dyDescent="0.2">
      <c r="I30" s="130" t="s">
        <v>554</v>
      </c>
      <c r="J30" s="130" t="s">
        <v>537</v>
      </c>
      <c r="K30" s="130">
        <v>36000</v>
      </c>
      <c r="L30" s="139"/>
      <c r="M30" s="139"/>
      <c r="N30" s="188"/>
    </row>
    <row r="31" spans="1:14" x14ac:dyDescent="0.2">
      <c r="A31" s="131" t="s">
        <v>555</v>
      </c>
      <c r="B31" s="139">
        <v>432000</v>
      </c>
      <c r="C31" s="480" t="s">
        <v>556</v>
      </c>
      <c r="D31" s="480"/>
      <c r="E31" s="139">
        <f>B31/40/12</f>
        <v>900</v>
      </c>
      <c r="F31" s="139" t="s">
        <v>557</v>
      </c>
      <c r="I31" s="130" t="s">
        <v>558</v>
      </c>
      <c r="J31" s="130" t="s">
        <v>559</v>
      </c>
      <c r="K31" s="130">
        <v>8000</v>
      </c>
      <c r="L31" s="139"/>
      <c r="M31" s="139"/>
      <c r="N31" s="188"/>
    </row>
    <row r="32" spans="1:14" x14ac:dyDescent="0.2">
      <c r="B32" s="139" t="s">
        <v>560</v>
      </c>
      <c r="E32" s="139" t="s">
        <v>561</v>
      </c>
      <c r="F32" s="139" t="s">
        <v>149</v>
      </c>
      <c r="I32" s="130" t="s">
        <v>562</v>
      </c>
      <c r="J32" s="130" t="s">
        <v>563</v>
      </c>
      <c r="K32" s="130">
        <v>-2550</v>
      </c>
      <c r="L32" s="139"/>
      <c r="M32" s="139"/>
      <c r="N32" s="188"/>
    </row>
    <row r="33" spans="1:14" x14ac:dyDescent="0.2">
      <c r="B33" s="139" t="s">
        <v>564</v>
      </c>
      <c r="D33" s="130" t="s">
        <v>565</v>
      </c>
      <c r="E33" s="130">
        <v>500</v>
      </c>
      <c r="F33" s="132">
        <f>B34*E33</f>
        <v>150</v>
      </c>
      <c r="I33" s="130" t="s">
        <v>566</v>
      </c>
      <c r="J33" s="130"/>
      <c r="K33" s="130"/>
      <c r="L33" s="139"/>
      <c r="M33" s="139"/>
      <c r="N33" s="188"/>
    </row>
    <row r="34" spans="1:14" x14ac:dyDescent="0.2">
      <c r="A34" s="131" t="s">
        <v>567</v>
      </c>
      <c r="B34" s="139">
        <f>E31/3000</f>
        <v>0.3</v>
      </c>
      <c r="D34" s="130" t="s">
        <v>504</v>
      </c>
      <c r="E34" s="130">
        <v>500</v>
      </c>
      <c r="F34" s="132">
        <f>B34*E34</f>
        <v>150</v>
      </c>
      <c r="I34" s="187"/>
      <c r="J34" s="139"/>
      <c r="K34" s="139"/>
      <c r="L34" s="139"/>
      <c r="M34" s="139"/>
      <c r="N34" s="188"/>
    </row>
    <row r="35" spans="1:14" x14ac:dyDescent="0.2">
      <c r="D35" s="130" t="s">
        <v>506</v>
      </c>
      <c r="E35" s="130">
        <v>800</v>
      </c>
      <c r="F35" s="132">
        <f>B34*E35</f>
        <v>240</v>
      </c>
      <c r="I35" s="130" t="s">
        <v>568</v>
      </c>
      <c r="J35" s="130"/>
      <c r="K35" s="139"/>
      <c r="L35" s="139"/>
      <c r="M35" s="139"/>
      <c r="N35" s="188"/>
    </row>
    <row r="36" spans="1:14" x14ac:dyDescent="0.2">
      <c r="D36" s="130" t="s">
        <v>507</v>
      </c>
      <c r="E36" s="130">
        <v>200</v>
      </c>
      <c r="F36" s="132">
        <f>B34*E36</f>
        <v>60</v>
      </c>
      <c r="I36" s="130" t="s">
        <v>527</v>
      </c>
      <c r="J36" s="130" t="s">
        <v>529</v>
      </c>
      <c r="K36" s="139"/>
      <c r="L36" s="139"/>
      <c r="M36" s="139"/>
      <c r="N36" s="188"/>
    </row>
    <row r="37" spans="1:14" x14ac:dyDescent="0.2">
      <c r="D37" s="130" t="s">
        <v>569</v>
      </c>
      <c r="E37" s="130">
        <v>1000</v>
      </c>
      <c r="F37" s="132">
        <f>E37*B34</f>
        <v>300</v>
      </c>
      <c r="I37" s="130" t="s">
        <v>522</v>
      </c>
      <c r="J37" s="130">
        <v>300</v>
      </c>
      <c r="K37" s="139"/>
      <c r="L37" s="139"/>
      <c r="M37" s="139"/>
      <c r="N37" s="188"/>
    </row>
    <row r="38" spans="1:14" x14ac:dyDescent="0.2">
      <c r="D38" s="130"/>
      <c r="E38" s="130">
        <f>SUM(E33:E37)</f>
        <v>3000</v>
      </c>
      <c r="F38" s="130">
        <f>SUM(F33:F37)</f>
        <v>900</v>
      </c>
      <c r="I38" s="130" t="s">
        <v>524</v>
      </c>
      <c r="J38" s="130">
        <v>3000</v>
      </c>
      <c r="K38" s="139"/>
      <c r="L38" s="139"/>
      <c r="M38" s="139"/>
      <c r="N38" s="188"/>
    </row>
    <row r="39" spans="1:14" ht="16" thickBot="1" x14ac:dyDescent="0.25">
      <c r="A39" s="131" t="s">
        <v>570</v>
      </c>
      <c r="I39" s="130" t="s">
        <v>526</v>
      </c>
      <c r="J39" s="130">
        <v>500</v>
      </c>
      <c r="K39" s="139"/>
      <c r="L39" s="139"/>
      <c r="M39" s="139"/>
      <c r="N39" s="188"/>
    </row>
    <row r="40" spans="1:14" x14ac:dyDescent="0.2">
      <c r="A40" s="131">
        <v>300</v>
      </c>
      <c r="B40" s="139" t="s">
        <v>149</v>
      </c>
      <c r="E40" s="184" t="s">
        <v>571</v>
      </c>
      <c r="F40" s="185"/>
      <c r="G40" s="185"/>
      <c r="H40" s="186"/>
      <c r="I40" s="306" t="s">
        <v>572</v>
      </c>
      <c r="J40" s="130">
        <v>64500</v>
      </c>
      <c r="K40" s="139"/>
      <c r="L40" s="139" t="s">
        <v>573</v>
      </c>
      <c r="M40" s="139" t="s">
        <v>574</v>
      </c>
      <c r="N40" s="188"/>
    </row>
    <row r="41" spans="1:14" x14ac:dyDescent="0.2">
      <c r="A41" s="204" t="s">
        <v>564</v>
      </c>
      <c r="B41" s="139">
        <f>A40/3000</f>
        <v>0.1</v>
      </c>
      <c r="E41" s="187" t="s">
        <v>575</v>
      </c>
      <c r="H41" s="188"/>
      <c r="I41" s="306" t="s">
        <v>576</v>
      </c>
      <c r="J41" s="130">
        <v>15400</v>
      </c>
      <c r="K41" s="139"/>
      <c r="L41" s="139" t="s">
        <v>577</v>
      </c>
      <c r="M41" s="139">
        <v>6000</v>
      </c>
      <c r="N41" s="188"/>
    </row>
    <row r="42" spans="1:14" x14ac:dyDescent="0.2">
      <c r="A42" s="130"/>
      <c r="B42" s="130" t="s">
        <v>578</v>
      </c>
      <c r="C42" s="130" t="s">
        <v>149</v>
      </c>
      <c r="E42" s="187" t="s">
        <v>6</v>
      </c>
      <c r="G42" s="139">
        <v>800</v>
      </c>
      <c r="H42" s="188">
        <v>8000</v>
      </c>
      <c r="I42" s="306" t="s">
        <v>304</v>
      </c>
      <c r="J42" s="130">
        <v>1000</v>
      </c>
      <c r="K42" s="139"/>
      <c r="L42" s="139" t="s">
        <v>579</v>
      </c>
      <c r="M42" s="139">
        <v>4000</v>
      </c>
      <c r="N42" s="188"/>
    </row>
    <row r="43" spans="1:14" x14ac:dyDescent="0.2">
      <c r="A43" s="130" t="s">
        <v>565</v>
      </c>
      <c r="B43" s="130">
        <v>500</v>
      </c>
      <c r="C43" s="229">
        <f>B41*B43</f>
        <v>50</v>
      </c>
      <c r="E43" s="187" t="s">
        <v>580</v>
      </c>
      <c r="G43" s="139">
        <v>800</v>
      </c>
      <c r="H43" s="307">
        <v>8000</v>
      </c>
      <c r="I43" s="139"/>
      <c r="J43" s="139"/>
      <c r="K43" s="139"/>
      <c r="L43" s="139" t="s">
        <v>581</v>
      </c>
      <c r="M43" s="139">
        <v>24180</v>
      </c>
      <c r="N43" s="188"/>
    </row>
    <row r="44" spans="1:14" ht="16" thickBot="1" x14ac:dyDescent="0.25">
      <c r="A44" s="130" t="s">
        <v>504</v>
      </c>
      <c r="B44" s="130">
        <v>500</v>
      </c>
      <c r="C44" s="229">
        <f>B41*B44</f>
        <v>50</v>
      </c>
      <c r="E44" s="189" t="s">
        <v>62</v>
      </c>
      <c r="F44" s="190"/>
      <c r="G44" s="190"/>
      <c r="H44" s="191"/>
      <c r="I44" s="306" t="s">
        <v>582</v>
      </c>
      <c r="J44" s="130"/>
      <c r="K44" s="139"/>
      <c r="L44" s="139" t="s">
        <v>583</v>
      </c>
      <c r="M44" s="139">
        <v>19170</v>
      </c>
      <c r="N44" s="188"/>
    </row>
    <row r="45" spans="1:14" x14ac:dyDescent="0.2">
      <c r="A45" s="130" t="s">
        <v>506</v>
      </c>
      <c r="B45" s="130">
        <v>800</v>
      </c>
      <c r="C45" s="229">
        <f>B41*B45</f>
        <v>80</v>
      </c>
      <c r="I45" s="130" t="s">
        <v>527</v>
      </c>
      <c r="J45" s="130" t="s">
        <v>529</v>
      </c>
      <c r="K45" s="139"/>
      <c r="L45" s="139" t="s">
        <v>584</v>
      </c>
      <c r="M45" s="139">
        <v>3550</v>
      </c>
      <c r="N45" s="188"/>
    </row>
    <row r="46" spans="1:14" x14ac:dyDescent="0.2">
      <c r="A46" s="130" t="s">
        <v>507</v>
      </c>
      <c r="B46" s="130">
        <v>200</v>
      </c>
      <c r="C46" s="229">
        <f>B41*B46</f>
        <v>20</v>
      </c>
      <c r="E46" s="139" t="s">
        <v>585</v>
      </c>
      <c r="F46" s="139" t="s">
        <v>473</v>
      </c>
      <c r="G46" s="139" t="s">
        <v>219</v>
      </c>
      <c r="H46" s="139" t="s">
        <v>586</v>
      </c>
      <c r="I46" s="130" t="s">
        <v>587</v>
      </c>
      <c r="J46" s="130">
        <v>10000</v>
      </c>
      <c r="K46" s="139"/>
      <c r="L46" s="139" t="s">
        <v>588</v>
      </c>
      <c r="M46" s="139">
        <v>12000</v>
      </c>
      <c r="N46" s="188"/>
    </row>
    <row r="47" spans="1:14" x14ac:dyDescent="0.2">
      <c r="A47" s="130" t="s">
        <v>569</v>
      </c>
      <c r="B47" s="130">
        <v>1000</v>
      </c>
      <c r="C47" s="229">
        <f>B41*B47</f>
        <v>100</v>
      </c>
      <c r="E47" s="139" t="s">
        <v>589</v>
      </c>
      <c r="F47" s="139">
        <v>10000</v>
      </c>
      <c r="G47" s="139">
        <f>H47/F47</f>
        <v>1.5</v>
      </c>
      <c r="H47" s="139">
        <v>15000</v>
      </c>
      <c r="I47" s="130" t="s">
        <v>590</v>
      </c>
      <c r="J47" s="130">
        <v>252000</v>
      </c>
      <c r="K47" s="139"/>
      <c r="L47" s="139" t="s">
        <v>591</v>
      </c>
      <c r="M47" s="139">
        <v>8000</v>
      </c>
      <c r="N47" s="188"/>
    </row>
    <row r="48" spans="1:14" x14ac:dyDescent="0.2">
      <c r="A48" s="130"/>
      <c r="B48" s="130">
        <f>SUM(B43:B47)</f>
        <v>3000</v>
      </c>
      <c r="C48" s="130">
        <f>SUM(C43:C47)</f>
        <v>300</v>
      </c>
      <c r="E48" s="139" t="s">
        <v>592</v>
      </c>
      <c r="F48" s="139">
        <v>-1000</v>
      </c>
      <c r="G48" s="139">
        <v>1.5</v>
      </c>
      <c r="H48" s="308">
        <f>F48*G48</f>
        <v>-1500</v>
      </c>
      <c r="I48" s="130" t="s">
        <v>593</v>
      </c>
      <c r="J48" s="130">
        <v>4000</v>
      </c>
      <c r="K48" s="139"/>
      <c r="L48" s="139" t="s">
        <v>594</v>
      </c>
      <c r="M48" s="139">
        <v>3000</v>
      </c>
      <c r="N48" s="188"/>
    </row>
    <row r="49" spans="1:14" x14ac:dyDescent="0.2">
      <c r="F49" s="139">
        <v>9000</v>
      </c>
      <c r="G49" s="139">
        <v>1.5</v>
      </c>
      <c r="H49" s="139">
        <f>F49*G49</f>
        <v>13500</v>
      </c>
      <c r="I49" s="187"/>
      <c r="J49" s="139"/>
      <c r="K49" s="139"/>
      <c r="L49" s="139" t="s">
        <v>356</v>
      </c>
      <c r="M49" s="139">
        <v>79900</v>
      </c>
      <c r="N49" s="188"/>
    </row>
    <row r="50" spans="1:14" x14ac:dyDescent="0.2">
      <c r="A50" s="131" t="s">
        <v>595</v>
      </c>
      <c r="I50" s="187"/>
      <c r="J50" s="139"/>
      <c r="K50" s="139"/>
      <c r="L50" s="139"/>
      <c r="M50" s="139"/>
      <c r="N50" s="188"/>
    </row>
    <row r="51" spans="1:14" x14ac:dyDescent="0.2">
      <c r="A51" s="131" t="s">
        <v>596</v>
      </c>
      <c r="I51" s="187"/>
      <c r="J51" s="139"/>
      <c r="K51" s="139"/>
      <c r="L51" s="139"/>
      <c r="M51" s="139"/>
      <c r="N51" s="188"/>
    </row>
    <row r="52" spans="1:14" x14ac:dyDescent="0.2">
      <c r="A52" s="130" t="s">
        <v>527</v>
      </c>
      <c r="B52" s="130" t="s">
        <v>597</v>
      </c>
      <c r="C52" s="130" t="s">
        <v>598</v>
      </c>
      <c r="D52" s="130" t="s">
        <v>529</v>
      </c>
      <c r="I52" s="187"/>
      <c r="J52" s="139"/>
      <c r="K52" s="139"/>
      <c r="L52" s="139"/>
      <c r="M52" s="139"/>
      <c r="N52" s="188"/>
    </row>
    <row r="53" spans="1:14" x14ac:dyDescent="0.2">
      <c r="A53" s="130" t="s">
        <v>396</v>
      </c>
      <c r="B53" s="130"/>
      <c r="C53" s="130"/>
      <c r="D53" s="130"/>
      <c r="I53" s="187"/>
      <c r="J53" s="139"/>
      <c r="K53" s="139"/>
      <c r="L53" s="139"/>
      <c r="M53" s="139"/>
      <c r="N53" s="188"/>
    </row>
    <row r="54" spans="1:14" x14ac:dyDescent="0.2">
      <c r="A54" s="130" t="s">
        <v>599</v>
      </c>
      <c r="B54" s="130">
        <v>5250</v>
      </c>
      <c r="C54" s="130">
        <f>D54/B54</f>
        <v>10.199999999999999</v>
      </c>
      <c r="D54" s="130">
        <v>53550</v>
      </c>
      <c r="I54" s="187"/>
      <c r="J54" s="139"/>
      <c r="K54" s="139"/>
      <c r="L54" s="139"/>
      <c r="M54" s="139"/>
      <c r="N54" s="188"/>
    </row>
    <row r="55" spans="1:14" x14ac:dyDescent="0.2">
      <c r="A55" s="130" t="s">
        <v>600</v>
      </c>
      <c r="B55" s="130">
        <v>250</v>
      </c>
      <c r="C55" s="130">
        <f>D55/B55</f>
        <v>10.199999999999999</v>
      </c>
      <c r="D55" s="130">
        <v>2550</v>
      </c>
      <c r="I55" s="187"/>
      <c r="J55" s="139"/>
      <c r="K55" s="139"/>
      <c r="L55" s="139"/>
      <c r="M55" s="139"/>
      <c r="N55" s="188"/>
    </row>
    <row r="56" spans="1:14" x14ac:dyDescent="0.2">
      <c r="A56" s="130" t="s">
        <v>601</v>
      </c>
      <c r="B56" s="130">
        <f>B54-B55</f>
        <v>5000</v>
      </c>
      <c r="C56" s="130">
        <f>D56/B56</f>
        <v>10.199999999999999</v>
      </c>
      <c r="D56" s="225">
        <v>51000</v>
      </c>
      <c r="I56" s="187"/>
      <c r="J56" s="139"/>
      <c r="K56" s="139"/>
      <c r="L56" s="139"/>
      <c r="M56" s="139"/>
      <c r="N56" s="188"/>
    </row>
    <row r="57" spans="1:14" ht="16" thickBot="1" x14ac:dyDescent="0.25">
      <c r="B57" s="139" t="s">
        <v>602</v>
      </c>
      <c r="I57" s="189"/>
      <c r="J57" s="190"/>
      <c r="K57" s="190"/>
      <c r="L57" s="190"/>
      <c r="M57" s="190"/>
      <c r="N57" s="191"/>
    </row>
    <row r="58" spans="1:14" x14ac:dyDescent="0.2">
      <c r="A58" s="131" t="s">
        <v>530</v>
      </c>
    </row>
    <row r="59" spans="1:14" x14ac:dyDescent="0.2">
      <c r="A59" s="130" t="s">
        <v>603</v>
      </c>
      <c r="B59" s="130" t="s">
        <v>604</v>
      </c>
      <c r="C59" s="130" t="s">
        <v>605</v>
      </c>
      <c r="D59" s="130" t="s">
        <v>606</v>
      </c>
    </row>
    <row r="60" spans="1:14" x14ac:dyDescent="0.2">
      <c r="A60" s="130" t="s">
        <v>607</v>
      </c>
      <c r="B60" s="130">
        <v>500</v>
      </c>
      <c r="C60" s="130">
        <f>D60/B60</f>
        <v>9.9</v>
      </c>
      <c r="D60" s="130">
        <v>4950</v>
      </c>
    </row>
    <row r="61" spans="1:14" x14ac:dyDescent="0.2">
      <c r="A61" s="130" t="s">
        <v>608</v>
      </c>
      <c r="B61" s="130">
        <v>3000</v>
      </c>
      <c r="C61" s="130">
        <f>D61/B61</f>
        <v>12</v>
      </c>
      <c r="D61" s="130">
        <v>36000</v>
      </c>
    </row>
    <row r="62" spans="1:14" x14ac:dyDescent="0.2">
      <c r="A62" s="130" t="s">
        <v>609</v>
      </c>
      <c r="B62" s="130">
        <v>2500</v>
      </c>
      <c r="C62" s="206">
        <f>(D60+D61)/3500</f>
        <v>11.7</v>
      </c>
      <c r="D62" s="225">
        <f>B62*C62</f>
        <v>29250</v>
      </c>
    </row>
    <row r="63" spans="1:14" x14ac:dyDescent="0.2">
      <c r="A63" s="130" t="s">
        <v>610</v>
      </c>
      <c r="B63" s="130">
        <f>B60+B61-B62</f>
        <v>1000</v>
      </c>
      <c r="C63" s="130">
        <f>C62</f>
        <v>11.7</v>
      </c>
      <c r="D63" s="130">
        <f>B63*C63</f>
        <v>11700</v>
      </c>
    </row>
    <row r="64" spans="1:14" x14ac:dyDescent="0.2">
      <c r="A64" s="131" t="s">
        <v>611</v>
      </c>
    </row>
    <row r="66" spans="1:5" x14ac:dyDescent="0.2">
      <c r="A66" s="131" t="s">
        <v>612</v>
      </c>
    </row>
    <row r="67" spans="1:5" x14ac:dyDescent="0.2">
      <c r="A67" s="131" t="s">
        <v>613</v>
      </c>
      <c r="B67" s="481" t="s">
        <v>614</v>
      </c>
      <c r="C67" s="481"/>
      <c r="D67" s="481"/>
      <c r="E67" s="130">
        <f>D68+D69</f>
        <v>7500</v>
      </c>
    </row>
    <row r="68" spans="1:5" x14ac:dyDescent="0.2">
      <c r="B68" s="481" t="s">
        <v>615</v>
      </c>
      <c r="C68" s="481"/>
      <c r="D68" s="309">
        <v>5000</v>
      </c>
      <c r="E68" s="310">
        <f>B71*D68</f>
        <v>2500</v>
      </c>
    </row>
    <row r="69" spans="1:5" x14ac:dyDescent="0.2">
      <c r="B69" s="481" t="s">
        <v>616</v>
      </c>
      <c r="C69" s="481"/>
      <c r="D69" s="309">
        <v>2500</v>
      </c>
      <c r="E69" s="310">
        <f>B71*D69</f>
        <v>1250</v>
      </c>
    </row>
    <row r="70" spans="1:5" x14ac:dyDescent="0.2">
      <c r="A70" s="131" t="s">
        <v>617</v>
      </c>
      <c r="B70" s="311">
        <f>D16</f>
        <v>3750</v>
      </c>
      <c r="E70" s="130">
        <f>SUM(E68:E69)</f>
        <v>3750</v>
      </c>
    </row>
    <row r="71" spans="1:5" x14ac:dyDescent="0.2">
      <c r="A71" s="131" t="s">
        <v>613</v>
      </c>
      <c r="B71" s="139">
        <f>B70/E67</f>
        <v>0.5</v>
      </c>
    </row>
    <row r="73" spans="1:5" x14ac:dyDescent="0.2">
      <c r="A73" s="131" t="s">
        <v>618</v>
      </c>
      <c r="B73" s="139" t="s">
        <v>619</v>
      </c>
      <c r="C73" s="139" t="s">
        <v>530</v>
      </c>
    </row>
    <row r="74" spans="1:5" x14ac:dyDescent="0.2">
      <c r="A74" s="130" t="s">
        <v>620</v>
      </c>
      <c r="B74" s="130">
        <v>5000</v>
      </c>
      <c r="C74" s="130">
        <v>2500</v>
      </c>
    </row>
    <row r="75" spans="1:5" x14ac:dyDescent="0.2">
      <c r="A75" s="130" t="s">
        <v>621</v>
      </c>
      <c r="B75" s="225">
        <f>D56</f>
        <v>51000</v>
      </c>
      <c r="C75" s="225">
        <f>D62</f>
        <v>29250</v>
      </c>
    </row>
    <row r="76" spans="1:5" x14ac:dyDescent="0.2">
      <c r="A76" s="130" t="s">
        <v>622</v>
      </c>
      <c r="B76" s="310">
        <f>E68</f>
        <v>2500</v>
      </c>
      <c r="C76" s="310">
        <f>E69</f>
        <v>1250</v>
      </c>
    </row>
    <row r="77" spans="1:5" x14ac:dyDescent="0.2">
      <c r="A77" s="130" t="s">
        <v>178</v>
      </c>
      <c r="B77" s="130">
        <f>SUM(B75:B76)</f>
        <v>53500</v>
      </c>
      <c r="C77" s="130">
        <f>SUM(C75:C76)</f>
        <v>30500</v>
      </c>
    </row>
    <row r="78" spans="1:5" x14ac:dyDescent="0.2">
      <c r="A78" s="130" t="s">
        <v>623</v>
      </c>
      <c r="B78" s="130">
        <f>B77/B74</f>
        <v>10.7</v>
      </c>
      <c r="C78" s="130">
        <f>C77/C74</f>
        <v>12.2</v>
      </c>
    </row>
    <row r="80" spans="1:5" x14ac:dyDescent="0.2">
      <c r="A80" s="131" t="s">
        <v>624</v>
      </c>
    </row>
    <row r="81" spans="1:4" x14ac:dyDescent="0.2">
      <c r="A81" s="176" t="s">
        <v>625</v>
      </c>
      <c r="B81" s="312"/>
      <c r="C81" s="139">
        <f>B77</f>
        <v>53500</v>
      </c>
    </row>
    <row r="82" spans="1:4" x14ac:dyDescent="0.2">
      <c r="A82" s="176" t="s">
        <v>626</v>
      </c>
      <c r="B82" s="312"/>
      <c r="C82" s="139">
        <f>C77</f>
        <v>30500</v>
      </c>
    </row>
    <row r="83" spans="1:4" x14ac:dyDescent="0.2">
      <c r="A83" s="176" t="s">
        <v>627</v>
      </c>
      <c r="B83" s="312"/>
      <c r="C83" s="311">
        <f>E16</f>
        <v>25500</v>
      </c>
    </row>
    <row r="84" spans="1:4" x14ac:dyDescent="0.2">
      <c r="A84" s="176" t="s">
        <v>628</v>
      </c>
      <c r="B84" s="312"/>
      <c r="C84" s="313">
        <f>SUM(C81:C83)</f>
        <v>109500</v>
      </c>
    </row>
    <row r="85" spans="1:4" x14ac:dyDescent="0.2">
      <c r="A85" s="176" t="s">
        <v>629</v>
      </c>
      <c r="B85" s="312"/>
      <c r="C85" s="313">
        <v>6000</v>
      </c>
    </row>
    <row r="86" spans="1:4" x14ac:dyDescent="0.2">
      <c r="A86" s="176" t="s">
        <v>630</v>
      </c>
      <c r="B86" s="312"/>
      <c r="C86" s="314">
        <f>C84/C85</f>
        <v>18.25</v>
      </c>
    </row>
    <row r="88" spans="1:4" x14ac:dyDescent="0.2">
      <c r="A88" s="131" t="s">
        <v>631</v>
      </c>
    </row>
    <row r="89" spans="1:4" x14ac:dyDescent="0.2">
      <c r="A89" s="130" t="s">
        <v>527</v>
      </c>
      <c r="B89" s="130" t="s">
        <v>332</v>
      </c>
      <c r="C89" s="130" t="s">
        <v>340</v>
      </c>
      <c r="D89" s="130" t="s">
        <v>356</v>
      </c>
    </row>
    <row r="90" spans="1:4" x14ac:dyDescent="0.2">
      <c r="A90" s="130" t="s">
        <v>607</v>
      </c>
      <c r="B90" s="130">
        <v>3000</v>
      </c>
      <c r="C90" s="130">
        <f>D90/B90</f>
        <v>17.5</v>
      </c>
      <c r="D90" s="130">
        <v>52500</v>
      </c>
    </row>
    <row r="91" spans="1:4" x14ac:dyDescent="0.2">
      <c r="A91" s="130" t="s">
        <v>632</v>
      </c>
      <c r="B91" s="315">
        <f>C85</f>
        <v>6000</v>
      </c>
      <c r="C91" s="315">
        <f>C86</f>
        <v>18.25</v>
      </c>
      <c r="D91" s="315">
        <f>C84</f>
        <v>109500</v>
      </c>
    </row>
    <row r="92" spans="1:4" x14ac:dyDescent="0.2">
      <c r="A92" s="130" t="s">
        <v>633</v>
      </c>
      <c r="B92" s="130">
        <v>5000</v>
      </c>
      <c r="C92" s="130">
        <f>(D90+D91)/(B90+B91)</f>
        <v>18</v>
      </c>
      <c r="D92" s="130">
        <f>B92*C92</f>
        <v>90000</v>
      </c>
    </row>
    <row r="93" spans="1:4" x14ac:dyDescent="0.2">
      <c r="A93" s="130" t="s">
        <v>634</v>
      </c>
      <c r="B93" s="130">
        <f>B90+B91-B92</f>
        <v>4000</v>
      </c>
      <c r="C93" s="130">
        <f>C92</f>
        <v>18</v>
      </c>
      <c r="D93" s="130">
        <f>B93*C93</f>
        <v>72000</v>
      </c>
    </row>
    <row r="96" spans="1:4" x14ac:dyDescent="0.2">
      <c r="A96" s="131" t="s">
        <v>635</v>
      </c>
    </row>
    <row r="97" spans="1:9" x14ac:dyDescent="0.2">
      <c r="A97" s="131" t="s">
        <v>636</v>
      </c>
      <c r="B97" s="139">
        <f>D92</f>
        <v>90000</v>
      </c>
      <c r="E97" s="131"/>
      <c r="F97" s="131"/>
      <c r="G97" s="131"/>
      <c r="H97" s="131"/>
    </row>
    <row r="98" spans="1:9" x14ac:dyDescent="0.2">
      <c r="A98" s="131" t="s">
        <v>637</v>
      </c>
      <c r="B98" s="311">
        <f>F16</f>
        <v>27750</v>
      </c>
      <c r="E98" s="131"/>
      <c r="F98" s="131"/>
      <c r="G98" s="131"/>
      <c r="H98" s="131"/>
    </row>
    <row r="99" spans="1:9" x14ac:dyDescent="0.2">
      <c r="A99" s="131" t="s">
        <v>638</v>
      </c>
      <c r="B99" s="316">
        <f>SUM(B97:B98)</f>
        <v>117750</v>
      </c>
      <c r="E99" s="131"/>
      <c r="F99" s="131"/>
      <c r="G99" s="131"/>
      <c r="H99" s="131"/>
    </row>
    <row r="100" spans="1:9" x14ac:dyDescent="0.2">
      <c r="A100" s="131" t="s">
        <v>639</v>
      </c>
      <c r="B100" s="316">
        <v>6000</v>
      </c>
      <c r="E100" s="131"/>
      <c r="F100" s="131"/>
      <c r="G100" s="131"/>
      <c r="H100" s="131"/>
    </row>
    <row r="101" spans="1:9" x14ac:dyDescent="0.2">
      <c r="A101" s="131" t="s">
        <v>640</v>
      </c>
      <c r="B101" s="317">
        <f>B99/B100</f>
        <v>19.625</v>
      </c>
      <c r="E101" s="131"/>
      <c r="F101" s="131"/>
      <c r="G101" s="131"/>
      <c r="H101" s="131"/>
    </row>
    <row r="103" spans="1:9" x14ac:dyDescent="0.2">
      <c r="A103" s="130" t="s">
        <v>527</v>
      </c>
      <c r="B103" s="130" t="s">
        <v>641</v>
      </c>
      <c r="C103" s="130" t="s">
        <v>219</v>
      </c>
      <c r="D103" s="130" t="s">
        <v>356</v>
      </c>
      <c r="I103" s="139"/>
    </row>
    <row r="104" spans="1:9" x14ac:dyDescent="0.2">
      <c r="A104" s="130" t="s">
        <v>607</v>
      </c>
      <c r="B104" s="130"/>
      <c r="C104" s="130"/>
      <c r="D104" s="130"/>
      <c r="I104" s="139"/>
    </row>
    <row r="105" spans="1:9" x14ac:dyDescent="0.2">
      <c r="A105" s="130" t="s">
        <v>632</v>
      </c>
      <c r="B105" s="207">
        <f>B100</f>
        <v>6000</v>
      </c>
      <c r="C105" s="318">
        <f>B101</f>
        <v>19.625</v>
      </c>
      <c r="D105" s="207">
        <f>B99</f>
        <v>117750</v>
      </c>
      <c r="I105" s="139"/>
    </row>
    <row r="106" spans="1:9" x14ac:dyDescent="0.2">
      <c r="A106" s="130" t="s">
        <v>642</v>
      </c>
      <c r="B106" s="130">
        <v>6000</v>
      </c>
      <c r="C106" s="319">
        <f>C105</f>
        <v>19.625</v>
      </c>
      <c r="D106" s="130">
        <f>D105</f>
        <v>117750</v>
      </c>
      <c r="I106" s="139"/>
    </row>
    <row r="107" spans="1:9" x14ac:dyDescent="0.2">
      <c r="A107" s="130" t="s">
        <v>634</v>
      </c>
      <c r="B107" s="130"/>
      <c r="C107" s="130"/>
      <c r="D107" s="130"/>
      <c r="I107" s="139"/>
    </row>
    <row r="110" spans="1:9" x14ac:dyDescent="0.2">
      <c r="A110" s="131" t="s">
        <v>643</v>
      </c>
    </row>
    <row r="111" spans="1:9" x14ac:dyDescent="0.2">
      <c r="A111" s="131" t="s">
        <v>644</v>
      </c>
      <c r="C111" s="139" t="s">
        <v>276</v>
      </c>
    </row>
    <row r="112" spans="1:9" x14ac:dyDescent="0.2">
      <c r="A112" s="131" t="s">
        <v>645</v>
      </c>
      <c r="C112" s="139">
        <v>252000</v>
      </c>
    </row>
    <row r="113" spans="1:3" x14ac:dyDescent="0.2">
      <c r="A113" s="131" t="s">
        <v>646</v>
      </c>
      <c r="C113" s="139">
        <v>-10000</v>
      </c>
    </row>
    <row r="114" spans="1:3" x14ac:dyDescent="0.2">
      <c r="A114" s="131" t="s">
        <v>647</v>
      </c>
      <c r="C114" s="139">
        <f>C112+C113</f>
        <v>242000</v>
      </c>
    </row>
    <row r="115" spans="1:3" x14ac:dyDescent="0.2">
      <c r="A115" s="131" t="s">
        <v>648</v>
      </c>
      <c r="C115" s="139">
        <v>117750</v>
      </c>
    </row>
    <row r="116" spans="1:3" x14ac:dyDescent="0.2">
      <c r="A116" s="131" t="s">
        <v>649</v>
      </c>
      <c r="C116" s="139">
        <f>C114-C115</f>
        <v>124250</v>
      </c>
    </row>
    <row r="117" spans="1:3" x14ac:dyDescent="0.2">
      <c r="A117" s="131" t="s">
        <v>650</v>
      </c>
      <c r="C117" s="139">
        <f>G16</f>
        <v>21500</v>
      </c>
    </row>
    <row r="118" spans="1:3" x14ac:dyDescent="0.2">
      <c r="A118" s="131" t="s">
        <v>408</v>
      </c>
      <c r="C118" s="139">
        <f>C116-C117</f>
        <v>102750</v>
      </c>
    </row>
    <row r="119" spans="1:3" x14ac:dyDescent="0.2">
      <c r="A119" s="131" t="s">
        <v>651</v>
      </c>
      <c r="C119" s="139">
        <f>C16+H16</f>
        <v>21100</v>
      </c>
    </row>
    <row r="120" spans="1:3" x14ac:dyDescent="0.2">
      <c r="A120" s="131" t="s">
        <v>652</v>
      </c>
      <c r="C120" s="139">
        <v>81650</v>
      </c>
    </row>
    <row r="121" spans="1:3" x14ac:dyDescent="0.2">
      <c r="A121" s="131" t="s">
        <v>653</v>
      </c>
      <c r="C121" s="139">
        <v>4000</v>
      </c>
    </row>
    <row r="122" spans="1:3" x14ac:dyDescent="0.2">
      <c r="A122" s="131" t="s">
        <v>654</v>
      </c>
      <c r="C122" s="139">
        <v>85650</v>
      </c>
    </row>
    <row r="123" spans="1:3" x14ac:dyDescent="0.2">
      <c r="A123" s="131" t="s">
        <v>655</v>
      </c>
    </row>
  </sheetData>
  <mergeCells count="4">
    <mergeCell ref="C31:D31"/>
    <mergeCell ref="B67:D67"/>
    <mergeCell ref="B68:C68"/>
    <mergeCell ref="B69:C6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09"/>
  <sheetViews>
    <sheetView workbookViewId="0">
      <selection activeCell="K28" sqref="K28"/>
    </sheetView>
  </sheetViews>
  <sheetFormatPr baseColWidth="10" defaultColWidth="18.1640625" defaultRowHeight="15" x14ac:dyDescent="0.2"/>
  <cols>
    <col min="1" max="1" width="26.33203125" style="205" customWidth="1"/>
    <col min="2" max="2" width="12.6640625" style="205" bestFit="1" customWidth="1"/>
    <col min="3" max="3" width="17.5" style="205" customWidth="1"/>
    <col min="4" max="4" width="18" style="205" customWidth="1"/>
    <col min="5" max="5" width="17" style="205" bestFit="1" customWidth="1"/>
    <col min="6" max="6" width="12.1640625" style="205" bestFit="1" customWidth="1"/>
    <col min="7" max="7" width="16.6640625" style="205" customWidth="1"/>
    <col min="8" max="8" width="11" style="205" customWidth="1"/>
    <col min="9" max="9" width="13.5" style="205" customWidth="1"/>
    <col min="10" max="16384" width="18.1640625" style="205"/>
  </cols>
  <sheetData>
    <row r="1" spans="1:9" s="335" customFormat="1" ht="16" x14ac:dyDescent="0.15">
      <c r="A1" s="331" t="s">
        <v>702</v>
      </c>
      <c r="B1" s="331" t="s">
        <v>703</v>
      </c>
      <c r="C1" s="332" t="s">
        <v>704</v>
      </c>
      <c r="D1" s="332" t="s">
        <v>423</v>
      </c>
      <c r="E1" s="333" t="s">
        <v>705</v>
      </c>
      <c r="F1" s="333" t="s">
        <v>706</v>
      </c>
      <c r="G1" s="334" t="s">
        <v>707</v>
      </c>
      <c r="H1" s="333" t="s">
        <v>708</v>
      </c>
      <c r="I1" s="333" t="s">
        <v>709</v>
      </c>
    </row>
    <row r="2" spans="1:9" x14ac:dyDescent="0.2">
      <c r="A2" s="331" t="s">
        <v>710</v>
      </c>
      <c r="B2" s="336"/>
      <c r="C2" s="337"/>
      <c r="D2" s="337"/>
      <c r="E2" s="337"/>
      <c r="F2" s="337"/>
      <c r="G2" s="336"/>
      <c r="H2" s="337"/>
      <c r="I2" s="337"/>
    </row>
    <row r="3" spans="1:9" x14ac:dyDescent="0.2">
      <c r="A3" s="338" t="s">
        <v>711</v>
      </c>
      <c r="B3" s="339">
        <f>SUM(C3:I3)</f>
        <v>5000</v>
      </c>
      <c r="C3" s="336">
        <v>5000</v>
      </c>
      <c r="D3" s="336"/>
      <c r="E3" s="336"/>
      <c r="F3" s="336"/>
      <c r="G3" s="336"/>
      <c r="H3" s="336"/>
      <c r="I3" s="336"/>
    </row>
    <row r="4" spans="1:9" x14ac:dyDescent="0.2">
      <c r="A4" s="338" t="s">
        <v>712</v>
      </c>
      <c r="B4" s="339">
        <f t="shared" ref="B4:B26" si="0">SUM(C4:I4)</f>
        <v>4000</v>
      </c>
      <c r="C4" s="336"/>
      <c r="D4" s="336">
        <v>4000</v>
      </c>
      <c r="E4" s="336"/>
      <c r="F4" s="336"/>
      <c r="G4" s="336"/>
      <c r="H4" s="336"/>
      <c r="I4" s="336"/>
    </row>
    <row r="5" spans="1:9" x14ac:dyDescent="0.2">
      <c r="A5" s="338" t="s">
        <v>713</v>
      </c>
      <c r="B5" s="339">
        <f t="shared" si="0"/>
        <v>25000</v>
      </c>
      <c r="C5" s="336"/>
      <c r="D5" s="336">
        <v>25000</v>
      </c>
      <c r="E5" s="336"/>
      <c r="F5" s="336"/>
      <c r="G5" s="336"/>
      <c r="H5" s="336"/>
      <c r="I5" s="336"/>
    </row>
    <row r="6" spans="1:9" x14ac:dyDescent="0.2">
      <c r="A6" s="338" t="s">
        <v>714</v>
      </c>
      <c r="B6" s="339">
        <f t="shared" si="0"/>
        <v>1500</v>
      </c>
      <c r="C6" s="336"/>
      <c r="D6" s="336"/>
      <c r="E6" s="336"/>
      <c r="F6" s="336"/>
      <c r="G6" s="336">
        <v>1500</v>
      </c>
      <c r="H6" s="336"/>
      <c r="I6" s="336"/>
    </row>
    <row r="7" spans="1:9" x14ac:dyDescent="0.2">
      <c r="A7" s="338" t="s">
        <v>715</v>
      </c>
      <c r="B7" s="339">
        <f t="shared" si="0"/>
        <v>4500</v>
      </c>
      <c r="C7" s="336"/>
      <c r="D7" s="336"/>
      <c r="E7" s="336"/>
      <c r="F7" s="336"/>
      <c r="G7" s="336"/>
      <c r="H7" s="336"/>
      <c r="I7" s="336">
        <v>4500</v>
      </c>
    </row>
    <row r="8" spans="1:9" x14ac:dyDescent="0.2">
      <c r="A8" s="338" t="s">
        <v>716</v>
      </c>
      <c r="B8" s="339">
        <f t="shared" si="0"/>
        <v>1200</v>
      </c>
      <c r="C8" s="336"/>
      <c r="D8" s="336"/>
      <c r="E8" s="336"/>
      <c r="F8" s="336"/>
      <c r="G8" s="336"/>
      <c r="H8" s="336"/>
      <c r="I8" s="336">
        <v>1200</v>
      </c>
    </row>
    <row r="9" spans="1:9" x14ac:dyDescent="0.2">
      <c r="A9" s="338" t="s">
        <v>717</v>
      </c>
      <c r="B9" s="339">
        <f t="shared" si="0"/>
        <v>1400</v>
      </c>
      <c r="C9" s="336"/>
      <c r="D9" s="336"/>
      <c r="E9" s="336"/>
      <c r="F9" s="336">
        <v>1400</v>
      </c>
      <c r="G9" s="336"/>
      <c r="H9" s="336"/>
      <c r="I9" s="336"/>
    </row>
    <row r="10" spans="1:9" x14ac:dyDescent="0.2">
      <c r="A10" s="338" t="s">
        <v>718</v>
      </c>
      <c r="B10" s="339">
        <f t="shared" si="0"/>
        <v>4400</v>
      </c>
      <c r="C10" s="336">
        <v>4400</v>
      </c>
      <c r="D10" s="336"/>
      <c r="E10" s="336"/>
      <c r="F10" s="336"/>
      <c r="G10" s="336"/>
      <c r="H10" s="336"/>
      <c r="I10" s="336"/>
    </row>
    <row r="11" spans="1:9" x14ac:dyDescent="0.2">
      <c r="A11" s="338" t="s">
        <v>719</v>
      </c>
      <c r="B11" s="339">
        <f t="shared" si="0"/>
        <v>2600</v>
      </c>
      <c r="C11" s="336">
        <v>2600</v>
      </c>
      <c r="D11" s="336"/>
      <c r="E11" s="336"/>
      <c r="F11" s="336"/>
      <c r="G11" s="336"/>
      <c r="H11" s="336"/>
      <c r="I11" s="336"/>
    </row>
    <row r="12" spans="1:9" x14ac:dyDescent="0.2">
      <c r="A12" s="338" t="s">
        <v>720</v>
      </c>
      <c r="B12" s="339">
        <f t="shared" si="0"/>
        <v>2800</v>
      </c>
      <c r="C12" s="336"/>
      <c r="D12" s="336"/>
      <c r="E12" s="336">
        <v>2800</v>
      </c>
      <c r="F12" s="336"/>
      <c r="G12" s="336"/>
      <c r="H12" s="336"/>
      <c r="I12" s="336"/>
    </row>
    <row r="13" spans="1:9" x14ac:dyDescent="0.2">
      <c r="A13" s="331" t="s">
        <v>721</v>
      </c>
      <c r="B13" s="336">
        <f t="shared" si="0"/>
        <v>800</v>
      </c>
      <c r="C13" s="336">
        <v>150</v>
      </c>
      <c r="D13" s="336">
        <v>200</v>
      </c>
      <c r="E13" s="336"/>
      <c r="F13" s="336">
        <v>200</v>
      </c>
      <c r="G13" s="336">
        <v>200</v>
      </c>
      <c r="H13" s="336">
        <v>50</v>
      </c>
      <c r="I13" s="336"/>
    </row>
    <row r="14" spans="1:9" x14ac:dyDescent="0.2">
      <c r="A14" s="331" t="s">
        <v>722</v>
      </c>
      <c r="B14" s="336">
        <f t="shared" si="0"/>
        <v>500</v>
      </c>
      <c r="C14" s="336">
        <v>225</v>
      </c>
      <c r="D14" s="336">
        <v>200</v>
      </c>
      <c r="E14" s="336"/>
      <c r="F14" s="336">
        <v>25</v>
      </c>
      <c r="G14" s="336">
        <v>50</v>
      </c>
      <c r="H14" s="336"/>
      <c r="I14" s="336"/>
    </row>
    <row r="15" spans="1:9" x14ac:dyDescent="0.2">
      <c r="A15" s="331" t="s">
        <v>723</v>
      </c>
      <c r="B15" s="143">
        <f>E50</f>
        <v>466.66666666666669</v>
      </c>
      <c r="C15" s="143">
        <f>B15</f>
        <v>466.66666666666669</v>
      </c>
      <c r="D15" s="143"/>
      <c r="E15" s="143"/>
      <c r="F15" s="143"/>
      <c r="G15" s="143"/>
      <c r="H15" s="143"/>
      <c r="I15" s="143"/>
    </row>
    <row r="16" spans="1:9" s="131" customFormat="1" x14ac:dyDescent="0.2">
      <c r="A16" s="143" t="s">
        <v>724</v>
      </c>
      <c r="B16" s="143">
        <f>SUM(C16:I16)</f>
        <v>333.33333333333331</v>
      </c>
      <c r="C16" s="143"/>
      <c r="D16" s="143">
        <f>E52</f>
        <v>333.33333333333331</v>
      </c>
      <c r="E16" s="143"/>
      <c r="F16" s="143"/>
      <c r="G16" s="143"/>
      <c r="H16" s="143"/>
      <c r="I16" s="143"/>
    </row>
    <row r="17" spans="1:9" x14ac:dyDescent="0.2">
      <c r="A17" s="331" t="s">
        <v>725</v>
      </c>
      <c r="B17" s="336">
        <f>SUM(C17:I17)</f>
        <v>250</v>
      </c>
      <c r="C17" s="143"/>
      <c r="D17" s="143"/>
      <c r="E17" s="143"/>
      <c r="F17" s="336"/>
      <c r="G17" s="336">
        <v>250</v>
      </c>
      <c r="H17" s="143"/>
      <c r="I17" s="143"/>
    </row>
    <row r="18" spans="1:9" x14ac:dyDescent="0.2">
      <c r="A18" s="331" t="s">
        <v>726</v>
      </c>
      <c r="B18" s="336">
        <f t="shared" si="0"/>
        <v>250</v>
      </c>
      <c r="C18" s="143"/>
      <c r="D18" s="143"/>
      <c r="E18" s="143"/>
      <c r="F18" s="143"/>
      <c r="G18" s="143"/>
      <c r="H18" s="336">
        <v>250</v>
      </c>
      <c r="I18" s="143"/>
    </row>
    <row r="19" spans="1:9" ht="15.75" customHeight="1" x14ac:dyDescent="0.2">
      <c r="A19" s="331" t="s">
        <v>727</v>
      </c>
      <c r="B19" s="336">
        <f>E58</f>
        <v>50</v>
      </c>
      <c r="C19" s="143">
        <v>12.5</v>
      </c>
      <c r="D19" s="336">
        <v>25</v>
      </c>
      <c r="E19" s="143"/>
      <c r="F19" s="143"/>
      <c r="G19" s="143">
        <v>12.5</v>
      </c>
      <c r="H19" s="143"/>
      <c r="I19" s="143"/>
    </row>
    <row r="20" spans="1:9" x14ac:dyDescent="0.2">
      <c r="A20" s="331" t="s">
        <v>728</v>
      </c>
      <c r="B20" s="336">
        <f>SUM(C20:I20)</f>
        <v>1000</v>
      </c>
      <c r="C20" s="336">
        <v>250</v>
      </c>
      <c r="D20" s="336">
        <v>500</v>
      </c>
      <c r="E20" s="336"/>
      <c r="F20" s="336"/>
      <c r="G20" s="336">
        <v>250</v>
      </c>
      <c r="H20" s="143"/>
      <c r="I20" s="143"/>
    </row>
    <row r="21" spans="1:9" x14ac:dyDescent="0.2">
      <c r="A21" s="331" t="s">
        <v>729</v>
      </c>
      <c r="B21" s="336">
        <f>SUM(C21:I21)</f>
        <v>4500</v>
      </c>
      <c r="C21" s="143"/>
      <c r="D21" s="143"/>
      <c r="E21" s="143"/>
      <c r="F21" s="143"/>
      <c r="G21" s="143"/>
      <c r="H21" s="143"/>
      <c r="I21" s="336">
        <v>4500</v>
      </c>
    </row>
    <row r="22" spans="1:9" x14ac:dyDescent="0.2">
      <c r="A22" s="331" t="s">
        <v>730</v>
      </c>
      <c r="B22" s="336">
        <f>SUM(C22:I22)</f>
        <v>1700</v>
      </c>
      <c r="C22" s="336">
        <v>400</v>
      </c>
      <c r="D22" s="336">
        <v>1000</v>
      </c>
      <c r="E22" s="143"/>
      <c r="F22" s="143"/>
      <c r="G22" s="336">
        <v>300</v>
      </c>
      <c r="H22" s="143"/>
      <c r="I22" s="143"/>
    </row>
    <row r="23" spans="1:9" ht="16.5" customHeight="1" x14ac:dyDescent="0.2">
      <c r="A23" s="331" t="s">
        <v>731</v>
      </c>
      <c r="B23" s="336">
        <f>SUM(C23:I23)</f>
        <v>10500</v>
      </c>
      <c r="C23" s="336">
        <v>4500</v>
      </c>
      <c r="D23" s="336">
        <v>6000</v>
      </c>
      <c r="E23" s="143"/>
      <c r="F23" s="143"/>
      <c r="G23" s="143"/>
      <c r="H23" s="143"/>
      <c r="I23" s="143"/>
    </row>
    <row r="24" spans="1:9" x14ac:dyDescent="0.2">
      <c r="A24" s="331" t="s">
        <v>732</v>
      </c>
      <c r="B24" s="336">
        <f t="shared" si="0"/>
        <v>3000</v>
      </c>
      <c r="C24" s="143">
        <v>562.5</v>
      </c>
      <c r="D24" s="336">
        <v>750</v>
      </c>
      <c r="E24" s="143"/>
      <c r="F24" s="336">
        <v>750</v>
      </c>
      <c r="G24" s="336">
        <v>750</v>
      </c>
      <c r="H24" s="143">
        <v>187.5</v>
      </c>
      <c r="I24" s="143"/>
    </row>
    <row r="25" spans="1:9" x14ac:dyDescent="0.2">
      <c r="A25" s="331" t="s">
        <v>733</v>
      </c>
      <c r="B25" s="336">
        <f t="shared" si="0"/>
        <v>500</v>
      </c>
      <c r="C25" s="143">
        <v>93.75</v>
      </c>
      <c r="D25" s="336">
        <v>125</v>
      </c>
      <c r="E25" s="143"/>
      <c r="F25" s="336">
        <v>125</v>
      </c>
      <c r="G25" s="336">
        <v>125</v>
      </c>
      <c r="H25" s="143">
        <v>31.25</v>
      </c>
      <c r="I25" s="143"/>
    </row>
    <row r="26" spans="1:9" x14ac:dyDescent="0.2">
      <c r="A26" s="331" t="s">
        <v>734</v>
      </c>
      <c r="B26" s="336">
        <f t="shared" si="0"/>
        <v>1000</v>
      </c>
      <c r="C26" s="143">
        <v>187.5</v>
      </c>
      <c r="D26" s="336">
        <v>250</v>
      </c>
      <c r="E26" s="143"/>
      <c r="F26" s="336">
        <v>250</v>
      </c>
      <c r="G26" s="336">
        <v>250</v>
      </c>
      <c r="H26" s="143">
        <v>62.5</v>
      </c>
      <c r="I26" s="143"/>
    </row>
    <row r="27" spans="1:9" x14ac:dyDescent="0.2">
      <c r="A27" s="331" t="s">
        <v>462</v>
      </c>
      <c r="B27" s="143">
        <f>SUM(B3:B26)</f>
        <v>77250</v>
      </c>
      <c r="C27" s="143">
        <f>SUM(C2:C26)</f>
        <v>18847.916666666664</v>
      </c>
      <c r="D27" s="143">
        <f>SUM(D2:D26)</f>
        <v>38383.333333333328</v>
      </c>
      <c r="E27" s="336">
        <f>SUM(E2:E24)</f>
        <v>2800</v>
      </c>
      <c r="F27" s="336">
        <f>SUM(F2:F24)</f>
        <v>2375</v>
      </c>
      <c r="G27" s="143">
        <f>SUM(G2:G24)</f>
        <v>3312.5</v>
      </c>
      <c r="H27" s="143">
        <f>SUM(H2:H24)</f>
        <v>487.5</v>
      </c>
      <c r="I27" s="336">
        <f>SUM(I2:I24)</f>
        <v>10200</v>
      </c>
    </row>
    <row r="28" spans="1:9" x14ac:dyDescent="0.2">
      <c r="A28" s="147"/>
      <c r="B28" s="147"/>
      <c r="C28" s="147"/>
      <c r="D28" s="147"/>
      <c r="E28" s="147"/>
      <c r="F28" s="147"/>
      <c r="G28" s="147"/>
    </row>
    <row r="29" spans="1:9" ht="32" x14ac:dyDescent="0.2">
      <c r="A29" s="153" t="s">
        <v>735</v>
      </c>
      <c r="B29" s="459" t="s">
        <v>736</v>
      </c>
      <c r="C29" s="459"/>
      <c r="D29" s="459"/>
      <c r="E29" s="459"/>
      <c r="F29" s="459"/>
      <c r="G29" s="459"/>
      <c r="H29" s="459"/>
      <c r="I29" s="459"/>
    </row>
    <row r="30" spans="1:9" x14ac:dyDescent="0.2">
      <c r="A30" s="147"/>
      <c r="B30" s="147"/>
      <c r="C30" s="147"/>
      <c r="D30" s="147"/>
      <c r="E30" s="147"/>
      <c r="F30" s="147"/>
      <c r="G30" s="147"/>
      <c r="H30" s="147"/>
      <c r="I30" s="147"/>
    </row>
    <row r="31" spans="1:9" x14ac:dyDescent="0.2">
      <c r="A31" s="483" t="s">
        <v>737</v>
      </c>
      <c r="B31" s="483"/>
      <c r="C31" s="483"/>
      <c r="D31" s="147"/>
      <c r="E31" s="147"/>
      <c r="F31" s="147"/>
      <c r="G31" s="147"/>
      <c r="H31" s="147"/>
      <c r="I31" s="147"/>
    </row>
    <row r="32" spans="1:9" x14ac:dyDescent="0.2">
      <c r="A32" s="147"/>
      <c r="B32" s="147"/>
      <c r="C32" s="147"/>
      <c r="D32" s="331" t="s">
        <v>738</v>
      </c>
      <c r="E32" s="331"/>
      <c r="F32" s="331" t="s">
        <v>739</v>
      </c>
      <c r="G32" s="331" t="s">
        <v>740</v>
      </c>
      <c r="H32" s="147"/>
      <c r="I32" s="147"/>
    </row>
    <row r="33" spans="1:11" x14ac:dyDescent="0.2">
      <c r="A33" s="340">
        <v>800</v>
      </c>
      <c r="B33" s="340" t="s">
        <v>740</v>
      </c>
      <c r="C33" s="340" t="s">
        <v>741</v>
      </c>
      <c r="D33" s="331" t="s">
        <v>742</v>
      </c>
      <c r="E33" s="331" t="s">
        <v>743</v>
      </c>
      <c r="F33" s="341">
        <v>1000</v>
      </c>
      <c r="G33" s="135">
        <f>F33*A35</f>
        <v>200</v>
      </c>
      <c r="H33" s="147"/>
      <c r="I33" s="147"/>
    </row>
    <row r="34" spans="1:11" x14ac:dyDescent="0.2">
      <c r="A34" s="342">
        <v>4000</v>
      </c>
      <c r="B34" s="340" t="s">
        <v>744</v>
      </c>
      <c r="C34" s="147"/>
      <c r="D34" s="331" t="s">
        <v>745</v>
      </c>
      <c r="E34" s="331" t="s">
        <v>707</v>
      </c>
      <c r="F34" s="135">
        <v>1000</v>
      </c>
      <c r="G34" s="135">
        <f>F34*A35</f>
        <v>200</v>
      </c>
      <c r="H34" s="147"/>
      <c r="I34" s="147"/>
    </row>
    <row r="35" spans="1:11" x14ac:dyDescent="0.2">
      <c r="A35" s="343">
        <v>0.2</v>
      </c>
      <c r="B35" s="340" t="s">
        <v>746</v>
      </c>
      <c r="C35" s="147"/>
      <c r="D35" s="331" t="s">
        <v>747</v>
      </c>
      <c r="E35" s="331" t="s">
        <v>423</v>
      </c>
      <c r="F35" s="336">
        <v>1000</v>
      </c>
      <c r="G35" s="135">
        <f>F35*A35</f>
        <v>200</v>
      </c>
      <c r="H35" s="147"/>
      <c r="I35" s="147"/>
    </row>
    <row r="36" spans="1:11" ht="15" customHeight="1" x14ac:dyDescent="0.2">
      <c r="A36" s="147"/>
      <c r="B36" s="147"/>
      <c r="C36" s="147"/>
      <c r="D36" s="331" t="s">
        <v>748</v>
      </c>
      <c r="E36" s="331" t="s">
        <v>749</v>
      </c>
      <c r="F36" s="344">
        <v>250</v>
      </c>
      <c r="G36" s="135">
        <f>F36*A35</f>
        <v>50</v>
      </c>
      <c r="H36" s="345" t="s">
        <v>750</v>
      </c>
      <c r="I36" s="340" t="s">
        <v>751</v>
      </c>
      <c r="J36" s="153"/>
      <c r="K36" s="153"/>
    </row>
    <row r="37" spans="1:11" x14ac:dyDescent="0.2">
      <c r="A37" s="147"/>
      <c r="B37" s="147"/>
      <c r="C37" s="147"/>
      <c r="D37" s="147"/>
      <c r="E37" s="331" t="s">
        <v>752</v>
      </c>
      <c r="F37" s="344">
        <v>750</v>
      </c>
      <c r="G37" s="135">
        <f>F37*A35</f>
        <v>150</v>
      </c>
      <c r="H37" s="147"/>
      <c r="I37" s="147" t="s">
        <v>753</v>
      </c>
    </row>
    <row r="38" spans="1:11" x14ac:dyDescent="0.2">
      <c r="A38" s="147"/>
      <c r="B38" s="147"/>
      <c r="C38" s="147"/>
      <c r="D38" s="147"/>
      <c r="E38" s="331" t="s">
        <v>754</v>
      </c>
      <c r="F38" s="336">
        <f>SUM(F33:F37)</f>
        <v>4000</v>
      </c>
      <c r="G38" s="135">
        <f>SUM(G33:G37)</f>
        <v>800</v>
      </c>
      <c r="H38" s="147"/>
      <c r="I38" s="147"/>
    </row>
    <row r="39" spans="1:11" s="131" customFormat="1" x14ac:dyDescent="0.2">
      <c r="A39" s="482" t="s">
        <v>755</v>
      </c>
      <c r="B39" s="482"/>
    </row>
    <row r="40" spans="1:11" s="131" customFormat="1" x14ac:dyDescent="0.2">
      <c r="A40" s="346"/>
      <c r="B40" s="335">
        <v>30000</v>
      </c>
      <c r="C40" s="346" t="s">
        <v>756</v>
      </c>
      <c r="D40" s="131">
        <f>30000/5/12</f>
        <v>500</v>
      </c>
    </row>
    <row r="41" spans="1:11" s="131" customFormat="1" x14ac:dyDescent="0.2">
      <c r="A41" s="346"/>
      <c r="B41" s="335">
        <v>20</v>
      </c>
      <c r="C41" s="131" t="s">
        <v>757</v>
      </c>
    </row>
    <row r="42" spans="1:11" s="131" customFormat="1" x14ac:dyDescent="0.2">
      <c r="A42" s="346"/>
      <c r="B42" s="335">
        <f>D40/B41</f>
        <v>25</v>
      </c>
      <c r="C42" s="457" t="s">
        <v>758</v>
      </c>
      <c r="D42" s="457"/>
    </row>
    <row r="43" spans="1:11" s="131" customFormat="1" ht="33.75" customHeight="1" x14ac:dyDescent="0.2">
      <c r="A43" s="346"/>
      <c r="C43" s="346"/>
      <c r="D43" s="143" t="s">
        <v>759</v>
      </c>
      <c r="E43" s="138" t="s">
        <v>760</v>
      </c>
      <c r="F43" s="347"/>
    </row>
    <row r="44" spans="1:11" s="131" customFormat="1" x14ac:dyDescent="0.2">
      <c r="B44" s="331" t="s">
        <v>742</v>
      </c>
      <c r="C44" s="143" t="s">
        <v>706</v>
      </c>
      <c r="D44" s="143">
        <v>1</v>
      </c>
      <c r="E44" s="143">
        <f>B42*D44</f>
        <v>25</v>
      </c>
    </row>
    <row r="45" spans="1:11" s="131" customFormat="1" x14ac:dyDescent="0.2">
      <c r="B45" s="331" t="s">
        <v>745</v>
      </c>
      <c r="C45" s="143" t="s">
        <v>761</v>
      </c>
      <c r="D45" s="143">
        <v>2</v>
      </c>
      <c r="E45" s="143">
        <f>D45*B42</f>
        <v>50</v>
      </c>
    </row>
    <row r="46" spans="1:11" s="131" customFormat="1" x14ac:dyDescent="0.2">
      <c r="B46" s="331" t="s">
        <v>747</v>
      </c>
      <c r="C46" s="143" t="s">
        <v>762</v>
      </c>
      <c r="D46" s="143">
        <v>8</v>
      </c>
      <c r="E46" s="143">
        <f>D46*B42</f>
        <v>200</v>
      </c>
    </row>
    <row r="47" spans="1:11" s="131" customFormat="1" x14ac:dyDescent="0.2">
      <c r="B47" s="331" t="s">
        <v>748</v>
      </c>
      <c r="C47" s="143" t="s">
        <v>763</v>
      </c>
      <c r="D47" s="143">
        <v>9</v>
      </c>
      <c r="E47" s="143">
        <f>D47*B42</f>
        <v>225</v>
      </c>
    </row>
    <row r="48" spans="1:11" s="131" customFormat="1" x14ac:dyDescent="0.2">
      <c r="D48" s="130">
        <f>SUM(D44:D47)</f>
        <v>20</v>
      </c>
      <c r="E48" s="143">
        <f>SUM(E44:E47)</f>
        <v>500</v>
      </c>
    </row>
    <row r="49" spans="1:8" s="131" customFormat="1" x14ac:dyDescent="0.2"/>
    <row r="50" spans="1:8" s="131" customFormat="1" x14ac:dyDescent="0.2">
      <c r="A50" s="482" t="s">
        <v>764</v>
      </c>
      <c r="B50" s="482"/>
      <c r="C50" s="346">
        <v>28000</v>
      </c>
      <c r="D50" s="346" t="s">
        <v>756</v>
      </c>
      <c r="E50" s="346">
        <f>C50/5/12</f>
        <v>466.66666666666669</v>
      </c>
      <c r="F50" s="139"/>
    </row>
    <row r="51" spans="1:8" s="131" customFormat="1" x14ac:dyDescent="0.2">
      <c r="F51" s="348"/>
    </row>
    <row r="52" spans="1:8" s="131" customFormat="1" x14ac:dyDescent="0.2">
      <c r="A52" s="482" t="s">
        <v>765</v>
      </c>
      <c r="B52" s="482"/>
      <c r="C52" s="346">
        <v>20000</v>
      </c>
      <c r="D52" s="346" t="s">
        <v>756</v>
      </c>
      <c r="E52" s="346">
        <f>C52/5/12</f>
        <v>333.33333333333331</v>
      </c>
      <c r="F52" s="348"/>
    </row>
    <row r="53" spans="1:8" s="131" customFormat="1" x14ac:dyDescent="0.2"/>
    <row r="54" spans="1:8" s="131" customFormat="1" x14ac:dyDescent="0.2">
      <c r="A54" s="482" t="s">
        <v>766</v>
      </c>
      <c r="B54" s="482"/>
      <c r="C54" s="346">
        <v>15000</v>
      </c>
      <c r="D54" s="346" t="s">
        <v>756</v>
      </c>
      <c r="E54" s="346">
        <f>15000/5/12</f>
        <v>250</v>
      </c>
    </row>
    <row r="55" spans="1:8" s="131" customFormat="1" x14ac:dyDescent="0.2"/>
    <row r="56" spans="1:8" s="131" customFormat="1" x14ac:dyDescent="0.2">
      <c r="A56" s="482" t="s">
        <v>767</v>
      </c>
      <c r="B56" s="482"/>
      <c r="C56" s="346">
        <v>12000</v>
      </c>
      <c r="D56" s="346" t="s">
        <v>768</v>
      </c>
      <c r="E56" s="346">
        <f>C56/4/12</f>
        <v>250</v>
      </c>
    </row>
    <row r="57" spans="1:8" s="131" customFormat="1" x14ac:dyDescent="0.2"/>
    <row r="58" spans="1:8" s="131" customFormat="1" x14ac:dyDescent="0.2">
      <c r="A58" s="482" t="s">
        <v>769</v>
      </c>
      <c r="B58" s="482"/>
      <c r="C58" s="346">
        <v>3000</v>
      </c>
      <c r="D58" s="346" t="s">
        <v>756</v>
      </c>
      <c r="E58" s="346">
        <f>C58/5/12</f>
        <v>50</v>
      </c>
      <c r="F58" s="346" t="s">
        <v>770</v>
      </c>
      <c r="G58" s="131">
        <v>25</v>
      </c>
      <c r="H58" s="131" t="s">
        <v>424</v>
      </c>
    </row>
    <row r="59" spans="1:8" s="131" customFormat="1" x14ac:dyDescent="0.2">
      <c r="G59" s="131">
        <v>12.5</v>
      </c>
      <c r="H59" s="131" t="s">
        <v>369</v>
      </c>
    </row>
    <row r="60" spans="1:8" s="131" customFormat="1" x14ac:dyDescent="0.2">
      <c r="A60" s="131" t="s">
        <v>771</v>
      </c>
      <c r="G60" s="131">
        <v>12.5</v>
      </c>
      <c r="H60" s="131" t="s">
        <v>565</v>
      </c>
    </row>
    <row r="61" spans="1:8" s="131" customFormat="1" x14ac:dyDescent="0.2">
      <c r="B61" s="131" t="s">
        <v>565</v>
      </c>
      <c r="C61" s="131">
        <v>18000</v>
      </c>
      <c r="D61" s="346" t="s">
        <v>756</v>
      </c>
      <c r="E61" s="131">
        <f>C61/5/12</f>
        <v>300</v>
      </c>
      <c r="G61" s="131">
        <f>SUM(G58:G60)</f>
        <v>50</v>
      </c>
    </row>
    <row r="62" spans="1:8" s="131" customFormat="1" x14ac:dyDescent="0.2">
      <c r="B62" s="131" t="s">
        <v>369</v>
      </c>
      <c r="C62" s="131">
        <v>24000</v>
      </c>
      <c r="D62" s="346" t="s">
        <v>756</v>
      </c>
      <c r="E62" s="131">
        <f>C62/5/12</f>
        <v>400</v>
      </c>
    </row>
    <row r="63" spans="1:8" s="131" customFormat="1" x14ac:dyDescent="0.2">
      <c r="B63" s="131" t="s">
        <v>772</v>
      </c>
      <c r="C63" s="131">
        <v>36000</v>
      </c>
      <c r="D63" s="131" t="s">
        <v>773</v>
      </c>
      <c r="E63" s="131">
        <f>C63/3/12</f>
        <v>1000</v>
      </c>
    </row>
    <row r="64" spans="1:8" s="131" customFormat="1" x14ac:dyDescent="0.2"/>
    <row r="65" spans="1:8" s="131" customFormat="1" x14ac:dyDescent="0.2"/>
    <row r="66" spans="1:8" s="131" customFormat="1" x14ac:dyDescent="0.2"/>
    <row r="67" spans="1:8" s="131" customFormat="1" x14ac:dyDescent="0.2"/>
    <row r="68" spans="1:8" s="131" customFormat="1" x14ac:dyDescent="0.2">
      <c r="A68" s="131" t="s">
        <v>309</v>
      </c>
      <c r="B68" s="147"/>
      <c r="C68" s="147"/>
      <c r="D68" s="147"/>
    </row>
    <row r="69" spans="1:8" s="131" customFormat="1" x14ac:dyDescent="0.2">
      <c r="A69" s="340">
        <v>3000</v>
      </c>
      <c r="B69" s="340" t="s">
        <v>740</v>
      </c>
      <c r="C69" s="331" t="s">
        <v>738</v>
      </c>
      <c r="D69" s="331"/>
      <c r="E69" s="331" t="s">
        <v>739</v>
      </c>
      <c r="F69" s="331" t="s">
        <v>740</v>
      </c>
    </row>
    <row r="70" spans="1:8" s="131" customFormat="1" x14ac:dyDescent="0.2">
      <c r="A70" s="342">
        <v>4000</v>
      </c>
      <c r="B70" s="340" t="s">
        <v>744</v>
      </c>
      <c r="C70" s="331" t="s">
        <v>742</v>
      </c>
      <c r="D70" s="331" t="s">
        <v>743</v>
      </c>
      <c r="E70" s="341">
        <v>1000</v>
      </c>
      <c r="F70" s="135">
        <f>E70*A71</f>
        <v>750</v>
      </c>
    </row>
    <row r="71" spans="1:8" s="131" customFormat="1" x14ac:dyDescent="0.2">
      <c r="A71" s="349">
        <f>A69/A70</f>
        <v>0.75</v>
      </c>
      <c r="B71" s="340" t="s">
        <v>746</v>
      </c>
      <c r="C71" s="331" t="s">
        <v>745</v>
      </c>
      <c r="D71" s="331" t="s">
        <v>707</v>
      </c>
      <c r="E71" s="135">
        <v>1000</v>
      </c>
      <c r="F71" s="135">
        <f>E71*A71</f>
        <v>750</v>
      </c>
    </row>
    <row r="72" spans="1:8" s="131" customFormat="1" x14ac:dyDescent="0.2">
      <c r="B72" s="147"/>
      <c r="C72" s="331" t="s">
        <v>747</v>
      </c>
      <c r="D72" s="331" t="s">
        <v>423</v>
      </c>
      <c r="E72" s="336">
        <v>1000</v>
      </c>
      <c r="F72" s="135">
        <f>E72*A71</f>
        <v>750</v>
      </c>
    </row>
    <row r="73" spans="1:8" s="131" customFormat="1" x14ac:dyDescent="0.2">
      <c r="B73" s="147"/>
      <c r="C73" s="331" t="s">
        <v>748</v>
      </c>
      <c r="D73" s="331" t="s">
        <v>749</v>
      </c>
      <c r="E73" s="336">
        <v>250</v>
      </c>
      <c r="F73" s="206">
        <f>E73*A71</f>
        <v>187.5</v>
      </c>
    </row>
    <row r="74" spans="1:8" s="131" customFormat="1" x14ac:dyDescent="0.2">
      <c r="B74" s="147"/>
      <c r="C74" s="147"/>
      <c r="D74" s="331" t="s">
        <v>752</v>
      </c>
      <c r="E74" s="336">
        <v>750</v>
      </c>
      <c r="F74" s="206">
        <f>E74*A71</f>
        <v>562.5</v>
      </c>
    </row>
    <row r="75" spans="1:8" s="131" customFormat="1" x14ac:dyDescent="0.2">
      <c r="B75" s="147"/>
      <c r="C75" s="147"/>
      <c r="D75" s="331" t="s">
        <v>754</v>
      </c>
      <c r="E75" s="336">
        <f>SUM(E70:E74)</f>
        <v>4000</v>
      </c>
      <c r="F75" s="135">
        <f>SUM(F70:F74)</f>
        <v>3000</v>
      </c>
      <c r="G75" s="350"/>
      <c r="H75" s="305"/>
    </row>
    <row r="76" spans="1:8" s="131" customFormat="1" x14ac:dyDescent="0.2">
      <c r="B76" s="147"/>
      <c r="C76" s="147"/>
      <c r="D76" s="340"/>
      <c r="E76" s="350"/>
      <c r="F76" s="305"/>
      <c r="G76" s="350"/>
      <c r="H76" s="305"/>
    </row>
    <row r="77" spans="1:8" s="131" customFormat="1" x14ac:dyDescent="0.2">
      <c r="A77" s="131" t="s">
        <v>774</v>
      </c>
      <c r="B77" s="147"/>
      <c r="C77" s="147"/>
      <c r="D77" s="147"/>
      <c r="G77" s="350"/>
      <c r="H77" s="305"/>
    </row>
    <row r="78" spans="1:8" s="131" customFormat="1" x14ac:dyDescent="0.2">
      <c r="A78" s="340">
        <f>6000/12</f>
        <v>500</v>
      </c>
      <c r="B78" s="340" t="s">
        <v>740</v>
      </c>
      <c r="C78" s="331" t="s">
        <v>738</v>
      </c>
      <c r="D78" s="331"/>
      <c r="E78" s="331" t="s">
        <v>739</v>
      </c>
      <c r="F78" s="331" t="s">
        <v>740</v>
      </c>
      <c r="G78" s="350"/>
      <c r="H78" s="305"/>
    </row>
    <row r="79" spans="1:8" s="131" customFormat="1" x14ac:dyDescent="0.2">
      <c r="A79" s="342">
        <v>4000</v>
      </c>
      <c r="B79" s="340" t="s">
        <v>744</v>
      </c>
      <c r="C79" s="331" t="s">
        <v>742</v>
      </c>
      <c r="D79" s="331" t="s">
        <v>743</v>
      </c>
      <c r="E79" s="341">
        <v>1000</v>
      </c>
      <c r="F79" s="135">
        <f>E79*A80</f>
        <v>125</v>
      </c>
      <c r="G79" s="350"/>
      <c r="H79" s="305"/>
    </row>
    <row r="80" spans="1:8" s="131" customFormat="1" x14ac:dyDescent="0.2">
      <c r="A80" s="351">
        <f>A78/A79</f>
        <v>0.125</v>
      </c>
      <c r="B80" s="340" t="s">
        <v>746</v>
      </c>
      <c r="C80" s="331" t="s">
        <v>745</v>
      </c>
      <c r="D80" s="331" t="s">
        <v>707</v>
      </c>
      <c r="E80" s="135">
        <v>1000</v>
      </c>
      <c r="F80" s="135">
        <f>E80*A80</f>
        <v>125</v>
      </c>
      <c r="G80" s="350"/>
      <c r="H80" s="305"/>
    </row>
    <row r="81" spans="1:8" s="131" customFormat="1" x14ac:dyDescent="0.2">
      <c r="B81" s="147"/>
      <c r="C81" s="331" t="s">
        <v>747</v>
      </c>
      <c r="D81" s="331" t="s">
        <v>423</v>
      </c>
      <c r="E81" s="336">
        <v>1000</v>
      </c>
      <c r="F81" s="135">
        <f>E81*A80</f>
        <v>125</v>
      </c>
      <c r="G81" s="350"/>
      <c r="H81" s="305"/>
    </row>
    <row r="82" spans="1:8" s="131" customFormat="1" x14ac:dyDescent="0.2">
      <c r="B82" s="147"/>
      <c r="C82" s="331" t="s">
        <v>748</v>
      </c>
      <c r="D82" s="331" t="s">
        <v>749</v>
      </c>
      <c r="E82" s="336">
        <v>250</v>
      </c>
      <c r="F82" s="206">
        <f>E82*A80</f>
        <v>31.25</v>
      </c>
      <c r="G82" s="350"/>
      <c r="H82" s="305"/>
    </row>
    <row r="83" spans="1:8" s="131" customFormat="1" x14ac:dyDescent="0.2">
      <c r="B83" s="147"/>
      <c r="C83" s="147"/>
      <c r="D83" s="331" t="s">
        <v>752</v>
      </c>
      <c r="E83" s="336">
        <v>750</v>
      </c>
      <c r="F83" s="206">
        <f>E83*A80</f>
        <v>93.75</v>
      </c>
      <c r="G83" s="350"/>
      <c r="H83" s="305"/>
    </row>
    <row r="84" spans="1:8" s="131" customFormat="1" x14ac:dyDescent="0.2">
      <c r="B84" s="147"/>
      <c r="C84" s="147"/>
      <c r="D84" s="331" t="s">
        <v>754</v>
      </c>
      <c r="E84" s="336">
        <f>SUM(E79:E83)</f>
        <v>4000</v>
      </c>
      <c r="F84" s="135">
        <f>SUM(F79:F83)</f>
        <v>500</v>
      </c>
      <c r="G84" s="350"/>
      <c r="H84" s="305"/>
    </row>
    <row r="85" spans="1:8" s="131" customFormat="1" x14ac:dyDescent="0.2">
      <c r="B85" s="147"/>
      <c r="C85" s="147"/>
      <c r="D85" s="147"/>
      <c r="E85" s="147"/>
      <c r="F85" s="340"/>
      <c r="G85" s="350"/>
      <c r="H85" s="305"/>
    </row>
    <row r="86" spans="1:8" s="131" customFormat="1" x14ac:dyDescent="0.2">
      <c r="A86" s="131" t="s">
        <v>734</v>
      </c>
      <c r="B86" s="147"/>
      <c r="C86" s="147"/>
      <c r="D86" s="147"/>
      <c r="G86" s="350"/>
      <c r="H86" s="305"/>
    </row>
    <row r="87" spans="1:8" s="131" customFormat="1" x14ac:dyDescent="0.2">
      <c r="A87" s="340">
        <f>12000/12</f>
        <v>1000</v>
      </c>
      <c r="B87" s="340" t="s">
        <v>740</v>
      </c>
      <c r="C87" s="331" t="s">
        <v>738</v>
      </c>
      <c r="D87" s="331"/>
      <c r="E87" s="331" t="s">
        <v>739</v>
      </c>
      <c r="F87" s="331" t="s">
        <v>740</v>
      </c>
      <c r="G87" s="350"/>
      <c r="H87" s="305"/>
    </row>
    <row r="88" spans="1:8" s="131" customFormat="1" x14ac:dyDescent="0.2">
      <c r="A88" s="342">
        <v>4000</v>
      </c>
      <c r="B88" s="340" t="s">
        <v>744</v>
      </c>
      <c r="C88" s="331" t="s">
        <v>742</v>
      </c>
      <c r="D88" s="331" t="s">
        <v>743</v>
      </c>
      <c r="E88" s="341">
        <v>1000</v>
      </c>
      <c r="F88" s="135">
        <f>E88*A89</f>
        <v>250</v>
      </c>
      <c r="G88" s="350"/>
      <c r="H88" s="305"/>
    </row>
    <row r="89" spans="1:8" s="131" customFormat="1" x14ac:dyDescent="0.2">
      <c r="A89" s="351">
        <f>A87/A88</f>
        <v>0.25</v>
      </c>
      <c r="B89" s="340" t="s">
        <v>746</v>
      </c>
      <c r="C89" s="331" t="s">
        <v>745</v>
      </c>
      <c r="D89" s="331" t="s">
        <v>707</v>
      </c>
      <c r="E89" s="135">
        <v>1000</v>
      </c>
      <c r="F89" s="135">
        <f>E89*A89</f>
        <v>250</v>
      </c>
      <c r="G89" s="350"/>
      <c r="H89" s="305"/>
    </row>
    <row r="90" spans="1:8" s="131" customFormat="1" x14ac:dyDescent="0.2">
      <c r="B90" s="147"/>
      <c r="C90" s="331" t="s">
        <v>747</v>
      </c>
      <c r="D90" s="331" t="s">
        <v>423</v>
      </c>
      <c r="E90" s="336">
        <v>1000</v>
      </c>
      <c r="F90" s="135">
        <f>E90*A89</f>
        <v>250</v>
      </c>
      <c r="G90" s="350"/>
      <c r="H90" s="305"/>
    </row>
    <row r="91" spans="1:8" s="131" customFormat="1" x14ac:dyDescent="0.2">
      <c r="B91" s="147"/>
      <c r="C91" s="331" t="s">
        <v>748</v>
      </c>
      <c r="D91" s="331" t="s">
        <v>749</v>
      </c>
      <c r="E91" s="336">
        <v>250</v>
      </c>
      <c r="F91" s="206">
        <f>E91*A89</f>
        <v>62.5</v>
      </c>
      <c r="G91" s="350"/>
      <c r="H91" s="305"/>
    </row>
    <row r="92" spans="1:8" s="131" customFormat="1" x14ac:dyDescent="0.2">
      <c r="B92" s="147"/>
      <c r="C92" s="147"/>
      <c r="D92" s="331" t="s">
        <v>752</v>
      </c>
      <c r="E92" s="336">
        <v>750</v>
      </c>
      <c r="F92" s="206">
        <f>E92*A89</f>
        <v>187.5</v>
      </c>
      <c r="G92" s="350"/>
      <c r="H92" s="305"/>
    </row>
    <row r="93" spans="1:8" s="131" customFormat="1" x14ac:dyDescent="0.2">
      <c r="B93" s="147"/>
      <c r="C93" s="147"/>
      <c r="D93" s="331" t="s">
        <v>754</v>
      </c>
      <c r="E93" s="336">
        <f>SUM(E88:E92)</f>
        <v>4000</v>
      </c>
      <c r="F93" s="135">
        <f>SUM(F88:F92)</f>
        <v>1000</v>
      </c>
      <c r="G93" s="350"/>
      <c r="H93" s="305"/>
    </row>
    <row r="94" spans="1:8" s="131" customFormat="1" x14ac:dyDescent="0.2">
      <c r="B94" s="147"/>
      <c r="C94" s="147"/>
      <c r="D94" s="147"/>
      <c r="E94" s="147"/>
      <c r="F94" s="340"/>
      <c r="G94" s="350"/>
      <c r="H94" s="305"/>
    </row>
    <row r="95" spans="1:8" s="131" customFormat="1" x14ac:dyDescent="0.2">
      <c r="A95" s="131" t="s">
        <v>775</v>
      </c>
    </row>
    <row r="96" spans="1:8" s="131" customFormat="1" x14ac:dyDescent="0.2"/>
    <row r="97" spans="1:7" s="131" customFormat="1" x14ac:dyDescent="0.2"/>
    <row r="98" spans="1:7" s="131" customFormat="1" x14ac:dyDescent="0.2">
      <c r="A98" s="143" t="s">
        <v>708</v>
      </c>
      <c r="B98" s="143"/>
      <c r="C98" s="143"/>
      <c r="E98" s="143" t="s">
        <v>743</v>
      </c>
      <c r="F98" s="143"/>
    </row>
    <row r="99" spans="1:7" s="131" customFormat="1" x14ac:dyDescent="0.2">
      <c r="A99" s="143" t="s">
        <v>776</v>
      </c>
      <c r="B99" s="143"/>
      <c r="C99" s="143">
        <f>-H27</f>
        <v>-487.5</v>
      </c>
      <c r="E99" s="143" t="s">
        <v>777</v>
      </c>
      <c r="F99" s="143">
        <f>-F27</f>
        <v>-2375</v>
      </c>
    </row>
    <row r="100" spans="1:7" s="131" customFormat="1" x14ac:dyDescent="0.2">
      <c r="A100" s="143" t="s">
        <v>778</v>
      </c>
      <c r="B100" s="143"/>
      <c r="C100" s="143">
        <v>300</v>
      </c>
      <c r="E100" s="143" t="s">
        <v>778</v>
      </c>
      <c r="F100" s="143">
        <f>(100-15-40)*200</f>
        <v>9000</v>
      </c>
      <c r="G100" s="131" t="s">
        <v>779</v>
      </c>
    </row>
    <row r="101" spans="1:7" s="131" customFormat="1" x14ac:dyDescent="0.2">
      <c r="A101" s="143" t="s">
        <v>780</v>
      </c>
      <c r="B101" s="143"/>
      <c r="C101" s="143">
        <v>-1500</v>
      </c>
      <c r="E101" s="143" t="s">
        <v>781</v>
      </c>
      <c r="F101" s="143">
        <f>SUM(F99:F100)</f>
        <v>6625</v>
      </c>
    </row>
    <row r="102" spans="1:7" s="131" customFormat="1" x14ac:dyDescent="0.2">
      <c r="A102" s="143" t="s">
        <v>782</v>
      </c>
      <c r="B102" s="143"/>
      <c r="C102" s="143">
        <f>SUM(C99:C101)</f>
        <v>-1687.5</v>
      </c>
    </row>
    <row r="103" spans="1:7" s="131" customFormat="1" x14ac:dyDescent="0.2"/>
    <row r="104" spans="1:7" s="131" customFormat="1" x14ac:dyDescent="0.2"/>
    <row r="105" spans="1:7" s="131" customFormat="1" x14ac:dyDescent="0.2"/>
    <row r="106" spans="1:7" s="131" customFormat="1" x14ac:dyDescent="0.2"/>
    <row r="107" spans="1:7" s="131" customFormat="1" x14ac:dyDescent="0.2"/>
    <row r="108" spans="1:7" s="131" customFormat="1" x14ac:dyDescent="0.2"/>
    <row r="109" spans="1:7" s="131" customFormat="1" x14ac:dyDescent="0.2"/>
  </sheetData>
  <mergeCells count="9">
    <mergeCell ref="A54:B54"/>
    <mergeCell ref="A56:B56"/>
    <mergeCell ref="A58:B58"/>
    <mergeCell ref="B29:I29"/>
    <mergeCell ref="A31:C31"/>
    <mergeCell ref="A39:B39"/>
    <mergeCell ref="C42:D42"/>
    <mergeCell ref="A50:B50"/>
    <mergeCell ref="A52:B5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H67"/>
  <sheetViews>
    <sheetView workbookViewId="0">
      <selection sqref="A1:IV65536"/>
    </sheetView>
  </sheetViews>
  <sheetFormatPr baseColWidth="10" defaultColWidth="11.5" defaultRowHeight="15" x14ac:dyDescent="0.2"/>
  <cols>
    <col min="1" max="1" width="11.5" style="274"/>
    <col min="2" max="2" width="19.83203125" style="274" customWidth="1"/>
    <col min="3" max="3" width="15" style="274" bestFit="1" customWidth="1"/>
    <col min="4" max="4" width="13.83203125" style="274" bestFit="1" customWidth="1"/>
    <col min="5" max="6" width="11.5" style="274"/>
    <col min="7" max="7" width="15.6640625" style="274" bestFit="1" customWidth="1"/>
    <col min="8" max="16384" width="11.5" style="274"/>
  </cols>
  <sheetData>
    <row r="2" spans="1:5" x14ac:dyDescent="0.2">
      <c r="A2" s="274" t="s">
        <v>783</v>
      </c>
      <c r="B2" s="274" t="s">
        <v>784</v>
      </c>
    </row>
    <row r="4" spans="1:5" x14ac:dyDescent="0.2">
      <c r="B4" s="274" t="s">
        <v>785</v>
      </c>
      <c r="C4" s="274" t="s">
        <v>786</v>
      </c>
      <c r="D4" s="274" t="s">
        <v>787</v>
      </c>
    </row>
    <row r="6" spans="1:5" x14ac:dyDescent="0.2">
      <c r="A6" s="274" t="s">
        <v>788</v>
      </c>
      <c r="B6" s="274" t="s">
        <v>789</v>
      </c>
    </row>
    <row r="7" spans="1:5" x14ac:dyDescent="0.2">
      <c r="B7" s="274" t="s">
        <v>790</v>
      </c>
      <c r="C7" s="274">
        <v>16000</v>
      </c>
    </row>
    <row r="9" spans="1:5" x14ac:dyDescent="0.2">
      <c r="B9" s="274" t="s">
        <v>791</v>
      </c>
    </row>
    <row r="10" spans="1:5" x14ac:dyDescent="0.2">
      <c r="B10" s="274" t="s">
        <v>792</v>
      </c>
      <c r="C10" s="274" t="s">
        <v>793</v>
      </c>
      <c r="D10" s="274">
        <v>4000</v>
      </c>
    </row>
    <row r="12" spans="1:5" x14ac:dyDescent="0.2">
      <c r="A12" s="274" t="s">
        <v>794</v>
      </c>
      <c r="B12" s="274" t="s">
        <v>795</v>
      </c>
      <c r="C12" s="352" t="s">
        <v>540</v>
      </c>
      <c r="D12" s="353">
        <v>12000</v>
      </c>
      <c r="E12" s="274" t="s">
        <v>796</v>
      </c>
    </row>
    <row r="13" spans="1:5" x14ac:dyDescent="0.2">
      <c r="C13" s="354" t="s">
        <v>797</v>
      </c>
      <c r="D13" s="274">
        <v>1600</v>
      </c>
    </row>
    <row r="15" spans="1:5" x14ac:dyDescent="0.2">
      <c r="B15" s="274" t="s">
        <v>798</v>
      </c>
      <c r="C15" s="274" t="s">
        <v>799</v>
      </c>
      <c r="D15" s="274">
        <f>7.5*3000</f>
        <v>22500</v>
      </c>
      <c r="E15" s="274" t="s">
        <v>485</v>
      </c>
    </row>
    <row r="18" spans="1:8" x14ac:dyDescent="0.2">
      <c r="A18" s="274" t="s">
        <v>800</v>
      </c>
      <c r="B18" s="274" t="s">
        <v>801</v>
      </c>
      <c r="G18" s="274" t="s">
        <v>802</v>
      </c>
    </row>
    <row r="20" spans="1:8" x14ac:dyDescent="0.2">
      <c r="B20" s="274" t="s">
        <v>803</v>
      </c>
      <c r="C20" s="274">
        <v>1600</v>
      </c>
      <c r="D20" s="274" t="s">
        <v>485</v>
      </c>
      <c r="G20" s="274">
        <v>1600</v>
      </c>
      <c r="H20" s="274" t="s">
        <v>485</v>
      </c>
    </row>
    <row r="22" spans="1:8" x14ac:dyDescent="0.2">
      <c r="B22" s="274" t="s">
        <v>804</v>
      </c>
      <c r="C22" s="274" t="s">
        <v>805</v>
      </c>
      <c r="D22" s="274">
        <v>24000</v>
      </c>
      <c r="E22" s="274" t="s">
        <v>485</v>
      </c>
      <c r="G22" s="274">
        <f>1600*20</f>
        <v>32000</v>
      </c>
      <c r="H22" s="274" t="s">
        <v>485</v>
      </c>
    </row>
    <row r="24" spans="1:8" x14ac:dyDescent="0.2">
      <c r="B24" s="274" t="s">
        <v>791</v>
      </c>
      <c r="C24" s="274" t="s">
        <v>806</v>
      </c>
      <c r="D24" s="274">
        <v>12000</v>
      </c>
      <c r="E24" s="274" t="s">
        <v>485</v>
      </c>
      <c r="G24" s="274">
        <f>G22-12000</f>
        <v>20000</v>
      </c>
      <c r="H24" s="274" t="s">
        <v>485</v>
      </c>
    </row>
    <row r="26" spans="1:8" x14ac:dyDescent="0.2">
      <c r="A26" s="274" t="s">
        <v>807</v>
      </c>
      <c r="B26" s="274" t="s">
        <v>808</v>
      </c>
      <c r="C26" s="274" t="s">
        <v>809</v>
      </c>
    </row>
    <row r="27" spans="1:8" x14ac:dyDescent="0.2">
      <c r="E27" s="274" t="s">
        <v>810</v>
      </c>
      <c r="F27" s="274" t="s">
        <v>485</v>
      </c>
    </row>
    <row r="28" spans="1:8" x14ac:dyDescent="0.2">
      <c r="B28" s="355" t="s">
        <v>811</v>
      </c>
      <c r="C28" s="355" t="s">
        <v>812</v>
      </c>
    </row>
    <row r="31" spans="1:8" x14ac:dyDescent="0.2">
      <c r="A31" s="484" t="s">
        <v>813</v>
      </c>
      <c r="B31" s="353" t="s">
        <v>814</v>
      </c>
      <c r="C31" s="356">
        <v>10</v>
      </c>
      <c r="D31" s="357">
        <v>0.5</v>
      </c>
    </row>
    <row r="32" spans="1:8" x14ac:dyDescent="0.2">
      <c r="A32" s="484"/>
      <c r="B32" s="274" t="s">
        <v>815</v>
      </c>
      <c r="C32" s="358">
        <v>20</v>
      </c>
    </row>
    <row r="35" spans="1:6" x14ac:dyDescent="0.2">
      <c r="B35" s="274" t="s">
        <v>816</v>
      </c>
      <c r="C35" s="274" t="s">
        <v>817</v>
      </c>
      <c r="D35" s="274">
        <v>6000</v>
      </c>
      <c r="E35" s="274" t="s">
        <v>485</v>
      </c>
    </row>
    <row r="37" spans="1:6" x14ac:dyDescent="0.2">
      <c r="B37" s="274" t="s">
        <v>818</v>
      </c>
      <c r="C37" s="261">
        <v>0.5</v>
      </c>
      <c r="D37" s="274">
        <v>6000</v>
      </c>
      <c r="E37" s="274" t="s">
        <v>485</v>
      </c>
      <c r="F37" s="274" t="s">
        <v>819</v>
      </c>
    </row>
    <row r="41" spans="1:6" x14ac:dyDescent="0.2">
      <c r="B41" s="274" t="s">
        <v>808</v>
      </c>
      <c r="C41" s="274" t="s">
        <v>809</v>
      </c>
    </row>
    <row r="42" spans="1:6" x14ac:dyDescent="0.2">
      <c r="E42" s="274" t="s">
        <v>810</v>
      </c>
      <c r="F42" s="274" t="s">
        <v>485</v>
      </c>
    </row>
    <row r="43" spans="1:6" x14ac:dyDescent="0.2">
      <c r="B43" s="355" t="s">
        <v>811</v>
      </c>
      <c r="C43" s="355" t="s">
        <v>820</v>
      </c>
    </row>
    <row r="45" spans="1:6" x14ac:dyDescent="0.2">
      <c r="A45" s="484" t="s">
        <v>813</v>
      </c>
      <c r="B45" s="353" t="s">
        <v>814</v>
      </c>
      <c r="C45" s="356">
        <v>15</v>
      </c>
      <c r="D45" s="357">
        <f>C45/C46</f>
        <v>0.75</v>
      </c>
    </row>
    <row r="46" spans="1:6" x14ac:dyDescent="0.2">
      <c r="A46" s="484"/>
      <c r="B46" s="274" t="s">
        <v>815</v>
      </c>
      <c r="C46" s="358">
        <v>20</v>
      </c>
    </row>
    <row r="47" spans="1:6" x14ac:dyDescent="0.2">
      <c r="A47" s="274" t="s">
        <v>821</v>
      </c>
    </row>
    <row r="49" spans="1:7" x14ac:dyDescent="0.2">
      <c r="C49" s="274" t="s">
        <v>816</v>
      </c>
      <c r="D49" s="274" t="s">
        <v>822</v>
      </c>
      <c r="E49" s="274">
        <f>D45*12000</f>
        <v>9000</v>
      </c>
      <c r="F49" s="274" t="s">
        <v>485</v>
      </c>
      <c r="G49" s="274" t="s">
        <v>823</v>
      </c>
    </row>
    <row r="51" spans="1:7" x14ac:dyDescent="0.2">
      <c r="C51" s="274" t="s">
        <v>818</v>
      </c>
      <c r="D51" s="261">
        <f>1-D45</f>
        <v>0.25</v>
      </c>
      <c r="E51" s="274">
        <f>D51*12000</f>
        <v>3000</v>
      </c>
      <c r="F51" s="274" t="s">
        <v>485</v>
      </c>
      <c r="G51" s="274" t="s">
        <v>819</v>
      </c>
    </row>
    <row r="52" spans="1:7" x14ac:dyDescent="0.2">
      <c r="E52" s="274">
        <f>SUM(E49:E51)</f>
        <v>12000</v>
      </c>
    </row>
    <row r="56" spans="1:7" x14ac:dyDescent="0.2">
      <c r="B56" s="274" t="s">
        <v>808</v>
      </c>
      <c r="C56" s="274" t="s">
        <v>809</v>
      </c>
    </row>
    <row r="57" spans="1:7" x14ac:dyDescent="0.2">
      <c r="E57" s="274" t="s">
        <v>810</v>
      </c>
      <c r="F57" s="274" t="s">
        <v>485</v>
      </c>
    </row>
    <row r="58" spans="1:7" x14ac:dyDescent="0.2">
      <c r="B58" s="355" t="s">
        <v>811</v>
      </c>
      <c r="C58" s="355" t="s">
        <v>820</v>
      </c>
    </row>
    <row r="60" spans="1:7" x14ac:dyDescent="0.2">
      <c r="A60" s="484" t="s">
        <v>813</v>
      </c>
      <c r="B60" s="353" t="s">
        <v>814</v>
      </c>
      <c r="C60" s="356">
        <v>15</v>
      </c>
      <c r="D60" s="357">
        <f>C60/C61</f>
        <v>0.75</v>
      </c>
    </row>
    <row r="61" spans="1:7" x14ac:dyDescent="0.2">
      <c r="A61" s="484"/>
      <c r="B61" s="274" t="s">
        <v>815</v>
      </c>
      <c r="C61" s="358">
        <v>20</v>
      </c>
    </row>
    <row r="62" spans="1:7" x14ac:dyDescent="0.2">
      <c r="A62" s="274" t="s">
        <v>821</v>
      </c>
    </row>
    <row r="64" spans="1:7" x14ac:dyDescent="0.2">
      <c r="C64" s="274" t="s">
        <v>816</v>
      </c>
      <c r="D64" s="274" t="s">
        <v>822</v>
      </c>
      <c r="E64" s="274">
        <f>D60*12000</f>
        <v>9000</v>
      </c>
      <c r="F64" s="274" t="s">
        <v>485</v>
      </c>
      <c r="G64" s="274" t="s">
        <v>823</v>
      </c>
    </row>
    <row r="66" spans="3:7" x14ac:dyDescent="0.2">
      <c r="C66" s="274" t="s">
        <v>818</v>
      </c>
      <c r="D66" s="261">
        <f>1-D60</f>
        <v>0.25</v>
      </c>
      <c r="E66" s="274">
        <f>D66*12000</f>
        <v>3000</v>
      </c>
      <c r="F66" s="274" t="s">
        <v>485</v>
      </c>
      <c r="G66" s="274" t="s">
        <v>819</v>
      </c>
    </row>
    <row r="67" spans="3:7" x14ac:dyDescent="0.2">
      <c r="E67" s="274">
        <f>SUM(E64:E66)</f>
        <v>12000</v>
      </c>
    </row>
  </sheetData>
  <mergeCells count="3">
    <mergeCell ref="A31:A32"/>
    <mergeCell ref="A45:A46"/>
    <mergeCell ref="A60:A6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129"/>
  <sheetViews>
    <sheetView workbookViewId="0">
      <selection activeCell="F1" sqref="F1"/>
    </sheetView>
  </sheetViews>
  <sheetFormatPr baseColWidth="10" defaultColWidth="11.5" defaultRowHeight="15" x14ac:dyDescent="0.2"/>
  <cols>
    <col min="1" max="1" width="31.6640625" style="205" customWidth="1"/>
    <col min="2" max="2" width="21.6640625" style="205" bestFit="1" customWidth="1"/>
    <col min="3" max="3" width="21.1640625" style="205" customWidth="1"/>
    <col min="4" max="4" width="14.5" style="205" customWidth="1"/>
    <col min="5" max="5" width="15.6640625" style="205" customWidth="1"/>
    <col min="6" max="6" width="20.5" style="205" bestFit="1" customWidth="1"/>
    <col min="7" max="7" width="18.5" style="205" bestFit="1" customWidth="1"/>
    <col min="8" max="8" width="12.83203125" style="205" customWidth="1"/>
    <col min="9" max="9" width="15.5" style="205" bestFit="1" customWidth="1"/>
    <col min="10" max="10" width="11.5" style="205"/>
    <col min="11" max="11" width="12.6640625" style="205" bestFit="1" customWidth="1"/>
    <col min="12" max="16384" width="11.5" style="205"/>
  </cols>
  <sheetData>
    <row r="1" spans="1:8" x14ac:dyDescent="0.2">
      <c r="A1" s="205" t="s">
        <v>824</v>
      </c>
    </row>
    <row r="3" spans="1:8" x14ac:dyDescent="0.2">
      <c r="A3" s="135" t="s">
        <v>658</v>
      </c>
      <c r="B3" s="135" t="s">
        <v>4</v>
      </c>
      <c r="C3" s="135" t="s">
        <v>825</v>
      </c>
      <c r="D3" s="135" t="s">
        <v>826</v>
      </c>
      <c r="E3" s="135" t="s">
        <v>827</v>
      </c>
      <c r="F3" s="135" t="s">
        <v>828</v>
      </c>
      <c r="G3" s="135" t="s">
        <v>829</v>
      </c>
    </row>
    <row r="4" spans="1:8" x14ac:dyDescent="0.2">
      <c r="A4" s="135" t="s">
        <v>830</v>
      </c>
      <c r="B4" s="135">
        <f>SUM(C4:G4)</f>
        <v>2119000</v>
      </c>
      <c r="C4" s="359">
        <v>220000</v>
      </c>
      <c r="D4" s="359">
        <v>640000</v>
      </c>
      <c r="E4" s="359">
        <v>700000</v>
      </c>
      <c r="F4" s="359">
        <v>259000</v>
      </c>
      <c r="G4" s="359">
        <v>300000</v>
      </c>
    </row>
    <row r="5" spans="1:8" x14ac:dyDescent="0.2">
      <c r="A5" s="135" t="s">
        <v>816</v>
      </c>
      <c r="B5" s="135">
        <f>SUM(C5:G5)</f>
        <v>1369000</v>
      </c>
      <c r="C5" s="359">
        <v>120000</v>
      </c>
      <c r="D5" s="359">
        <v>240000</v>
      </c>
      <c r="E5" s="360">
        <v>450000</v>
      </c>
      <c r="F5" s="359">
        <v>259000</v>
      </c>
      <c r="G5" s="359">
        <v>300000</v>
      </c>
    </row>
    <row r="6" spans="1:8" x14ac:dyDescent="0.2">
      <c r="A6" s="291" t="s">
        <v>831</v>
      </c>
      <c r="B6" s="291">
        <f>SUM(C6:G6)</f>
        <v>750000</v>
      </c>
      <c r="C6" s="361">
        <v>100000</v>
      </c>
      <c r="D6" s="361">
        <v>400000</v>
      </c>
      <c r="E6" s="361">
        <v>250000</v>
      </c>
      <c r="F6" s="291"/>
      <c r="G6" s="291"/>
    </row>
    <row r="7" spans="1:8" s="364" customFormat="1" ht="16" x14ac:dyDescent="0.2">
      <c r="A7" s="362" t="s">
        <v>832</v>
      </c>
      <c r="B7" s="135">
        <f>SUM(C7:G7)</f>
        <v>0</v>
      </c>
      <c r="C7" s="337">
        <v>-100000</v>
      </c>
      <c r="D7" s="363">
        <f>750*C12</f>
        <v>75000</v>
      </c>
      <c r="E7" s="363">
        <f>250*C12</f>
        <v>25000</v>
      </c>
      <c r="F7" s="337"/>
      <c r="G7" s="337"/>
      <c r="H7" s="364" t="s">
        <v>833</v>
      </c>
    </row>
    <row r="8" spans="1:8" s="335" customFormat="1" ht="16" x14ac:dyDescent="0.15">
      <c r="A8" s="365" t="s">
        <v>834</v>
      </c>
      <c r="B8" s="366"/>
      <c r="C8" s="366">
        <f>C6+C7</f>
        <v>0</v>
      </c>
      <c r="D8" s="366">
        <f>D6+D7</f>
        <v>475000</v>
      </c>
      <c r="E8" s="366">
        <f>E6+E7</f>
        <v>275000</v>
      </c>
      <c r="F8" s="366">
        <v>0</v>
      </c>
      <c r="G8" s="366"/>
      <c r="H8" s="335" t="s">
        <v>835</v>
      </c>
    </row>
    <row r="9" spans="1:8" x14ac:dyDescent="0.2">
      <c r="A9" s="135" t="s">
        <v>836</v>
      </c>
      <c r="B9" s="135"/>
      <c r="C9" s="135" t="s">
        <v>837</v>
      </c>
      <c r="D9" s="135" t="s">
        <v>838</v>
      </c>
      <c r="E9" s="135" t="s">
        <v>838</v>
      </c>
      <c r="F9" s="135" t="s">
        <v>839</v>
      </c>
      <c r="G9" s="135"/>
    </row>
    <row r="10" spans="1:8" x14ac:dyDescent="0.2">
      <c r="A10" s="135" t="s">
        <v>543</v>
      </c>
      <c r="B10" s="135"/>
      <c r="C10" s="359">
        <v>1500</v>
      </c>
      <c r="D10" s="359">
        <v>3000</v>
      </c>
      <c r="E10" s="359">
        <v>1100</v>
      </c>
      <c r="F10" s="359">
        <v>4000</v>
      </c>
      <c r="G10" s="135"/>
    </row>
    <row r="11" spans="1:8" x14ac:dyDescent="0.2">
      <c r="A11" s="135" t="s">
        <v>811</v>
      </c>
      <c r="B11" s="135"/>
      <c r="C11" s="359">
        <f>750+250</f>
        <v>1000</v>
      </c>
      <c r="D11" s="359">
        <f>1200+800</f>
        <v>2000</v>
      </c>
      <c r="E11" s="359">
        <f>320+480</f>
        <v>800</v>
      </c>
      <c r="F11" s="359">
        <v>3500</v>
      </c>
      <c r="G11" s="135"/>
    </row>
    <row r="12" spans="1:8" s="371" customFormat="1" ht="16" x14ac:dyDescent="0.15">
      <c r="A12" s="367" t="s">
        <v>840</v>
      </c>
      <c r="B12" s="368"/>
      <c r="C12" s="369">
        <f>C6/C11</f>
        <v>100</v>
      </c>
      <c r="D12" s="369">
        <f>D8/D11</f>
        <v>237.5</v>
      </c>
      <c r="E12" s="369">
        <f>E8/E11</f>
        <v>343.75</v>
      </c>
      <c r="F12" s="370"/>
      <c r="G12" s="368"/>
    </row>
    <row r="13" spans="1:8" x14ac:dyDescent="0.2">
      <c r="C13" s="205" t="s">
        <v>841</v>
      </c>
      <c r="D13" s="495" t="s">
        <v>842</v>
      </c>
      <c r="E13" s="496"/>
    </row>
    <row r="14" spans="1:8" x14ac:dyDescent="0.2">
      <c r="A14" s="486" t="s">
        <v>843</v>
      </c>
      <c r="B14" s="486"/>
      <c r="C14" s="486"/>
      <c r="D14" s="486"/>
    </row>
    <row r="15" spans="1:8" x14ac:dyDescent="0.2">
      <c r="B15" s="205" t="s">
        <v>844</v>
      </c>
      <c r="C15" s="205" t="s">
        <v>845</v>
      </c>
      <c r="E15" s="205" t="s">
        <v>846</v>
      </c>
      <c r="F15" s="205" t="s">
        <v>847</v>
      </c>
    </row>
    <row r="16" spans="1:8" x14ac:dyDescent="0.2">
      <c r="A16" s="135" t="s">
        <v>826</v>
      </c>
      <c r="B16" s="359">
        <v>800</v>
      </c>
      <c r="C16" s="359">
        <v>1200</v>
      </c>
      <c r="D16" s="206">
        <f>D12</f>
        <v>237.5</v>
      </c>
      <c r="E16" s="372">
        <f>D16*B16</f>
        <v>190000</v>
      </c>
      <c r="F16" s="372">
        <f>D16*C16</f>
        <v>285000</v>
      </c>
      <c r="G16" s="205">
        <f>SUM(E16+F16)</f>
        <v>475000</v>
      </c>
    </row>
    <row r="17" spans="1:7" x14ac:dyDescent="0.2">
      <c r="A17" s="135" t="s">
        <v>848</v>
      </c>
      <c r="B17" s="359">
        <v>320</v>
      </c>
      <c r="C17" s="359">
        <v>480</v>
      </c>
      <c r="D17" s="206">
        <f>E12</f>
        <v>343.75</v>
      </c>
      <c r="E17" s="372">
        <f>D17*B17</f>
        <v>110000</v>
      </c>
      <c r="F17" s="372">
        <f>D17*C17</f>
        <v>165000</v>
      </c>
      <c r="G17" s="205">
        <f>E17+F17</f>
        <v>275000</v>
      </c>
    </row>
    <row r="19" spans="1:7" x14ac:dyDescent="0.2">
      <c r="A19" s="205" t="s">
        <v>849</v>
      </c>
    </row>
    <row r="20" spans="1:7" x14ac:dyDescent="0.2">
      <c r="A20" s="135"/>
      <c r="B20" s="135" t="s">
        <v>850</v>
      </c>
      <c r="C20" s="135" t="s">
        <v>851</v>
      </c>
    </row>
    <row r="21" spans="1:7" x14ac:dyDescent="0.2">
      <c r="A21" s="135" t="s">
        <v>852</v>
      </c>
      <c r="B21" s="359">
        <v>320000</v>
      </c>
      <c r="C21" s="359">
        <v>270000</v>
      </c>
    </row>
    <row r="22" spans="1:7" x14ac:dyDescent="0.2">
      <c r="A22" s="135" t="s">
        <v>826</v>
      </c>
      <c r="B22" s="372">
        <f>E16</f>
        <v>190000</v>
      </c>
      <c r="C22" s="372">
        <f>F16</f>
        <v>285000</v>
      </c>
    </row>
    <row r="23" spans="1:7" x14ac:dyDescent="0.2">
      <c r="A23" s="135" t="s">
        <v>827</v>
      </c>
      <c r="B23" s="372">
        <f>E17</f>
        <v>110000</v>
      </c>
      <c r="C23" s="372">
        <f>F17</f>
        <v>165000</v>
      </c>
    </row>
    <row r="24" spans="1:7" x14ac:dyDescent="0.2">
      <c r="A24" s="135" t="s">
        <v>853</v>
      </c>
      <c r="B24" s="141">
        <f>SUM(B21:B23)</f>
        <v>620000</v>
      </c>
      <c r="C24" s="141">
        <f>SUM(C21:C23)</f>
        <v>720000</v>
      </c>
    </row>
    <row r="25" spans="1:7" x14ac:dyDescent="0.2">
      <c r="A25" s="135" t="s">
        <v>854</v>
      </c>
      <c r="B25" s="135">
        <v>6400</v>
      </c>
      <c r="C25" s="135">
        <v>10000</v>
      </c>
    </row>
    <row r="26" spans="1:7" x14ac:dyDescent="0.2">
      <c r="A26" s="135" t="s">
        <v>855</v>
      </c>
      <c r="B26" s="373">
        <f>B24/B25</f>
        <v>96.875</v>
      </c>
      <c r="C26" s="373">
        <f>C24/C25</f>
        <v>72</v>
      </c>
      <c r="D26" s="205" t="s">
        <v>856</v>
      </c>
    </row>
    <row r="34" spans="1:8" x14ac:dyDescent="0.2">
      <c r="A34" s="205" t="s">
        <v>66</v>
      </c>
    </row>
    <row r="35" spans="1:8" x14ac:dyDescent="0.2">
      <c r="A35" s="135"/>
      <c r="B35" s="485" t="s">
        <v>850</v>
      </c>
      <c r="C35" s="485"/>
      <c r="D35" s="485" t="s">
        <v>851</v>
      </c>
      <c r="E35" s="485"/>
      <c r="F35" s="135" t="s">
        <v>4</v>
      </c>
      <c r="G35" s="135"/>
    </row>
    <row r="36" spans="1:8" x14ac:dyDescent="0.2">
      <c r="A36" s="135" t="s">
        <v>857</v>
      </c>
      <c r="B36" s="135">
        <f>6400*160</f>
        <v>1024000</v>
      </c>
      <c r="C36" s="374">
        <v>1</v>
      </c>
      <c r="D36" s="135">
        <f>10000*170</f>
        <v>1700000</v>
      </c>
      <c r="E36" s="374">
        <v>1</v>
      </c>
      <c r="F36" s="135">
        <f>B36+D36</f>
        <v>2724000</v>
      </c>
      <c r="G36" s="374">
        <v>1</v>
      </c>
    </row>
    <row r="37" spans="1:8" x14ac:dyDescent="0.2">
      <c r="A37" s="135" t="s">
        <v>858</v>
      </c>
      <c r="B37" s="135">
        <f>-B24</f>
        <v>-620000</v>
      </c>
      <c r="C37" s="374">
        <f>-B37/B36</f>
        <v>0.60546875</v>
      </c>
      <c r="D37" s="135">
        <f>-C24</f>
        <v>-720000</v>
      </c>
      <c r="E37" s="374">
        <f>-D37/D36</f>
        <v>0.42352941176470588</v>
      </c>
      <c r="F37" s="135">
        <f>B37+D37</f>
        <v>-1340000</v>
      </c>
      <c r="G37" s="374">
        <f>-F37/F36</f>
        <v>0.49192364170337738</v>
      </c>
    </row>
    <row r="38" spans="1:8" x14ac:dyDescent="0.2">
      <c r="A38" s="135" t="s">
        <v>859</v>
      </c>
      <c r="B38" s="135"/>
      <c r="C38" s="374"/>
      <c r="D38" s="135"/>
      <c r="E38" s="374"/>
      <c r="F38" s="135">
        <f>B38+D38</f>
        <v>0</v>
      </c>
      <c r="G38" s="374"/>
    </row>
    <row r="39" spans="1:8" x14ac:dyDescent="0.2">
      <c r="A39" s="135" t="s">
        <v>860</v>
      </c>
      <c r="B39" s="135">
        <f>B36+B37</f>
        <v>404000</v>
      </c>
      <c r="C39" s="374">
        <f>B39/B36</f>
        <v>0.39453125</v>
      </c>
      <c r="D39" s="135">
        <f>D36+D37</f>
        <v>980000</v>
      </c>
      <c r="E39" s="374">
        <f>D39/D36</f>
        <v>0.57647058823529407</v>
      </c>
      <c r="F39" s="135">
        <f>B39+D39</f>
        <v>1384000</v>
      </c>
      <c r="G39" s="375">
        <f>F39/F36</f>
        <v>0.50807635829662257</v>
      </c>
      <c r="H39" s="376">
        <f>F39/F36</f>
        <v>0.50807635829662257</v>
      </c>
    </row>
    <row r="40" spans="1:8" x14ac:dyDescent="0.2">
      <c r="A40" s="135" t="s">
        <v>861</v>
      </c>
      <c r="B40" s="135"/>
      <c r="C40" s="374"/>
      <c r="D40" s="135"/>
      <c r="E40" s="374"/>
      <c r="F40" s="377">
        <f>-B5</f>
        <v>-1369000</v>
      </c>
      <c r="G40" s="374">
        <f>-F40/F36</f>
        <v>0.50256975036710716</v>
      </c>
    </row>
    <row r="41" spans="1:8" x14ac:dyDescent="0.2">
      <c r="A41" s="135" t="s">
        <v>862</v>
      </c>
      <c r="B41" s="135"/>
      <c r="C41" s="374"/>
      <c r="D41" s="135"/>
      <c r="E41" s="374"/>
      <c r="F41" s="144">
        <f>SUM(F39:F40)</f>
        <v>15000</v>
      </c>
      <c r="G41" s="374">
        <f>F41/F36</f>
        <v>5.5066079295154188E-3</v>
      </c>
    </row>
    <row r="42" spans="1:8" x14ac:dyDescent="0.2">
      <c r="C42" s="378"/>
      <c r="E42" s="378"/>
      <c r="G42" s="378"/>
    </row>
    <row r="43" spans="1:8" x14ac:dyDescent="0.2">
      <c r="A43" s="205" t="s">
        <v>863</v>
      </c>
      <c r="C43" s="378"/>
      <c r="E43" s="378"/>
      <c r="G43" s="378"/>
    </row>
    <row r="44" spans="1:8" x14ac:dyDescent="0.2">
      <c r="C44" s="378"/>
      <c r="E44" s="378"/>
      <c r="G44" s="378"/>
    </row>
    <row r="45" spans="1:8" x14ac:dyDescent="0.2">
      <c r="A45" s="205" t="s">
        <v>864</v>
      </c>
      <c r="B45" s="205">
        <f>B5</f>
        <v>1369000</v>
      </c>
      <c r="C45" s="378"/>
      <c r="E45" s="378"/>
      <c r="G45" s="378"/>
    </row>
    <row r="46" spans="1:8" x14ac:dyDescent="0.2">
      <c r="A46" s="205" t="s">
        <v>865</v>
      </c>
      <c r="B46" s="379">
        <f>G39</f>
        <v>0.50807635829662257</v>
      </c>
      <c r="C46" s="378"/>
      <c r="E46" s="378"/>
      <c r="G46" s="378"/>
    </row>
    <row r="47" spans="1:8" x14ac:dyDescent="0.2">
      <c r="C47" s="378"/>
      <c r="E47" s="378"/>
      <c r="G47" s="378"/>
    </row>
    <row r="48" spans="1:8" x14ac:dyDescent="0.2">
      <c r="A48" s="205" t="s">
        <v>866</v>
      </c>
      <c r="B48" s="380" t="s">
        <v>540</v>
      </c>
      <c r="C48" s="381">
        <f>B45</f>
        <v>1369000</v>
      </c>
      <c r="E48" s="131">
        <f>C48/C49</f>
        <v>2694476.8786127171</v>
      </c>
      <c r="F48" s="205" t="s">
        <v>485</v>
      </c>
      <c r="G48" s="378"/>
    </row>
    <row r="49" spans="1:10" x14ac:dyDescent="0.2">
      <c r="B49" s="382" t="s">
        <v>867</v>
      </c>
      <c r="C49" s="383">
        <f>G39</f>
        <v>0.50807635829662257</v>
      </c>
      <c r="E49" s="378"/>
    </row>
    <row r="53" spans="1:10" ht="32" x14ac:dyDescent="0.2">
      <c r="B53" s="382" t="s">
        <v>540</v>
      </c>
      <c r="F53" s="205" t="s">
        <v>544</v>
      </c>
      <c r="G53" s="205" t="s">
        <v>868</v>
      </c>
      <c r="H53" s="384" t="s">
        <v>869</v>
      </c>
      <c r="I53" s="205" t="s">
        <v>870</v>
      </c>
    </row>
    <row r="54" spans="1:10" x14ac:dyDescent="0.2">
      <c r="A54" s="487" t="s">
        <v>871</v>
      </c>
      <c r="B54" s="488">
        <f>C5</f>
        <v>120000</v>
      </c>
      <c r="C54" s="135" t="s">
        <v>872</v>
      </c>
      <c r="D54" s="135">
        <v>1500</v>
      </c>
      <c r="E54" s="135" t="s">
        <v>873</v>
      </c>
      <c r="F54" s="490">
        <f>D55/D54</f>
        <v>0.66666666666666663</v>
      </c>
      <c r="G54" s="491">
        <f>(1-F54)*B54</f>
        <v>40000.000000000007</v>
      </c>
      <c r="H54" s="492">
        <f>D54-D55</f>
        <v>500</v>
      </c>
      <c r="I54" s="494">
        <f>B54-G54</f>
        <v>80000</v>
      </c>
    </row>
    <row r="55" spans="1:10" x14ac:dyDescent="0.2">
      <c r="A55" s="487"/>
      <c r="B55" s="489"/>
      <c r="C55" s="135" t="s">
        <v>811</v>
      </c>
      <c r="D55" s="135">
        <v>1000</v>
      </c>
      <c r="E55" s="135" t="s">
        <v>873</v>
      </c>
      <c r="F55" s="490"/>
      <c r="G55" s="491"/>
      <c r="H55" s="492"/>
      <c r="I55" s="494"/>
      <c r="J55" s="385"/>
    </row>
    <row r="56" spans="1:10" x14ac:dyDescent="0.2">
      <c r="A56" s="487" t="s">
        <v>874</v>
      </c>
      <c r="B56" s="488">
        <f>D5</f>
        <v>240000</v>
      </c>
      <c r="C56" s="135" t="s">
        <v>872</v>
      </c>
      <c r="D56" s="135">
        <v>3000</v>
      </c>
      <c r="E56" s="135" t="s">
        <v>875</v>
      </c>
      <c r="F56" s="490">
        <f>D57/D56</f>
        <v>0.66666666666666663</v>
      </c>
      <c r="G56" s="491">
        <f>(1-F56)*B56</f>
        <v>80000.000000000015</v>
      </c>
      <c r="H56" s="493">
        <f>D56-D57</f>
        <v>1000</v>
      </c>
      <c r="I56" s="492">
        <f>B56-G56</f>
        <v>160000</v>
      </c>
    </row>
    <row r="57" spans="1:10" x14ac:dyDescent="0.2">
      <c r="A57" s="487"/>
      <c r="B57" s="489"/>
      <c r="C57" s="135" t="s">
        <v>811</v>
      </c>
      <c r="D57" s="135">
        <v>2000</v>
      </c>
      <c r="E57" s="135" t="s">
        <v>875</v>
      </c>
      <c r="F57" s="490"/>
      <c r="G57" s="491"/>
      <c r="H57" s="493"/>
      <c r="I57" s="492"/>
    </row>
    <row r="58" spans="1:10" x14ac:dyDescent="0.2">
      <c r="A58" s="487" t="s">
        <v>876</v>
      </c>
      <c r="B58" s="488">
        <f>E5</f>
        <v>450000</v>
      </c>
      <c r="C58" s="135" t="s">
        <v>872</v>
      </c>
      <c r="D58" s="135">
        <v>1100</v>
      </c>
      <c r="E58" s="135" t="s">
        <v>875</v>
      </c>
      <c r="F58" s="490">
        <f>D59/D58</f>
        <v>0.72727272727272729</v>
      </c>
      <c r="G58" s="491">
        <f>(1-F58)*B58</f>
        <v>122727.27272727272</v>
      </c>
      <c r="H58" s="493">
        <f>D58-D59</f>
        <v>300</v>
      </c>
      <c r="I58" s="492">
        <f>B58-G58</f>
        <v>327272.72727272729</v>
      </c>
    </row>
    <row r="59" spans="1:10" x14ac:dyDescent="0.2">
      <c r="A59" s="487"/>
      <c r="B59" s="489"/>
      <c r="C59" s="135" t="s">
        <v>811</v>
      </c>
      <c r="D59" s="135">
        <v>800</v>
      </c>
      <c r="E59" s="135" t="s">
        <v>875</v>
      </c>
      <c r="F59" s="490"/>
      <c r="G59" s="491"/>
      <c r="H59" s="493"/>
      <c r="I59" s="492"/>
    </row>
    <row r="60" spans="1:10" x14ac:dyDescent="0.2">
      <c r="A60" s="487" t="s">
        <v>828</v>
      </c>
      <c r="B60" s="488">
        <f>F5</f>
        <v>259000</v>
      </c>
      <c r="C60" s="135" t="s">
        <v>872</v>
      </c>
      <c r="D60" s="135">
        <v>4000</v>
      </c>
      <c r="E60" s="135" t="s">
        <v>877</v>
      </c>
      <c r="F60" s="490">
        <f>D61/D60</f>
        <v>0.875</v>
      </c>
      <c r="G60" s="491">
        <f>(1-F60)*B60</f>
        <v>32375</v>
      </c>
      <c r="H60" s="492">
        <f>D60-D61</f>
        <v>500</v>
      </c>
      <c r="I60" s="492">
        <f>B60-G60</f>
        <v>226625</v>
      </c>
    </row>
    <row r="61" spans="1:10" x14ac:dyDescent="0.2">
      <c r="A61" s="487"/>
      <c r="B61" s="489"/>
      <c r="C61" s="135" t="s">
        <v>811</v>
      </c>
      <c r="D61" s="135">
        <v>3500</v>
      </c>
      <c r="E61" s="135" t="s">
        <v>877</v>
      </c>
      <c r="F61" s="490"/>
      <c r="G61" s="491"/>
      <c r="H61" s="492"/>
      <c r="I61" s="492"/>
    </row>
    <row r="65" spans="1:6" x14ac:dyDescent="0.2">
      <c r="A65" s="205" t="s">
        <v>878</v>
      </c>
    </row>
    <row r="66" spans="1:6" x14ac:dyDescent="0.2">
      <c r="B66" s="205" t="s">
        <v>879</v>
      </c>
    </row>
    <row r="67" spans="1:6" x14ac:dyDescent="0.2">
      <c r="A67" s="205" t="s">
        <v>880</v>
      </c>
      <c r="B67" s="205">
        <v>5000</v>
      </c>
      <c r="C67" s="205" t="s">
        <v>473</v>
      </c>
    </row>
    <row r="68" spans="1:6" x14ac:dyDescent="0.2">
      <c r="A68" s="386" t="s">
        <v>270</v>
      </c>
      <c r="B68" s="205">
        <v>115</v>
      </c>
      <c r="C68" s="205" t="s">
        <v>881</v>
      </c>
    </row>
    <row r="71" spans="1:6" x14ac:dyDescent="0.2">
      <c r="A71" s="205" t="s">
        <v>882</v>
      </c>
      <c r="B71" s="205" t="s">
        <v>883</v>
      </c>
    </row>
    <row r="72" spans="1:6" x14ac:dyDescent="0.2">
      <c r="B72" s="205" t="s">
        <v>884</v>
      </c>
    </row>
    <row r="73" spans="1:6" x14ac:dyDescent="0.2">
      <c r="B73" s="205" t="s">
        <v>885</v>
      </c>
    </row>
    <row r="74" spans="1:6" x14ac:dyDescent="0.2">
      <c r="B74" s="205" t="s">
        <v>886</v>
      </c>
      <c r="E74" s="205" t="s">
        <v>887</v>
      </c>
      <c r="F74" s="382" t="s">
        <v>888</v>
      </c>
    </row>
    <row r="75" spans="1:6" x14ac:dyDescent="0.2">
      <c r="A75" s="386" t="s">
        <v>826</v>
      </c>
      <c r="B75" s="387">
        <v>1000</v>
      </c>
      <c r="C75" s="387" t="s">
        <v>889</v>
      </c>
      <c r="E75" s="205">
        <v>6400</v>
      </c>
      <c r="F75" s="205">
        <v>800</v>
      </c>
    </row>
    <row r="76" spans="1:6" x14ac:dyDescent="0.2">
      <c r="B76" s="387">
        <v>625</v>
      </c>
      <c r="C76" s="387" t="s">
        <v>890</v>
      </c>
      <c r="E76" s="205">
        <v>5000</v>
      </c>
      <c r="F76" s="387" t="s">
        <v>891</v>
      </c>
    </row>
    <row r="79" spans="1:6" x14ac:dyDescent="0.2">
      <c r="A79" s="386" t="s">
        <v>848</v>
      </c>
      <c r="B79" s="387">
        <v>300</v>
      </c>
      <c r="C79" s="387" t="s">
        <v>889</v>
      </c>
      <c r="E79" s="205" t="s">
        <v>887</v>
      </c>
      <c r="F79" s="382" t="s">
        <v>888</v>
      </c>
    </row>
    <row r="80" spans="1:6" x14ac:dyDescent="0.2">
      <c r="B80" s="387">
        <v>250</v>
      </c>
      <c r="C80" s="387" t="s">
        <v>890</v>
      </c>
      <c r="E80" s="205">
        <v>6400</v>
      </c>
      <c r="F80" s="205">
        <v>320</v>
      </c>
    </row>
    <row r="81" spans="1:6" x14ac:dyDescent="0.2">
      <c r="E81" s="205">
        <v>5000</v>
      </c>
      <c r="F81" s="387" t="s">
        <v>892</v>
      </c>
    </row>
    <row r="82" spans="1:6" s="387" customFormat="1" x14ac:dyDescent="0.2">
      <c r="A82" s="387" t="s">
        <v>893</v>
      </c>
    </row>
    <row r="84" spans="1:6" x14ac:dyDescent="0.2">
      <c r="A84" s="205" t="s">
        <v>894</v>
      </c>
      <c r="B84" s="205" t="s">
        <v>895</v>
      </c>
      <c r="C84" s="205">
        <v>115</v>
      </c>
      <c r="D84" s="205" t="s">
        <v>276</v>
      </c>
    </row>
    <row r="85" spans="1:6" x14ac:dyDescent="0.2">
      <c r="B85" s="205" t="s">
        <v>896</v>
      </c>
      <c r="C85" s="388">
        <f>B26</f>
        <v>96.875</v>
      </c>
      <c r="D85" s="205" t="s">
        <v>276</v>
      </c>
    </row>
    <row r="86" spans="1:6" x14ac:dyDescent="0.2">
      <c r="B86" s="205" t="s">
        <v>860</v>
      </c>
      <c r="C86" s="389">
        <f>C84-C85</f>
        <v>18.125</v>
      </c>
      <c r="D86" s="205" t="s">
        <v>276</v>
      </c>
      <c r="E86" s="205" t="s">
        <v>897</v>
      </c>
    </row>
    <row r="88" spans="1:6" x14ac:dyDescent="0.2">
      <c r="B88" s="205" t="s">
        <v>898</v>
      </c>
      <c r="C88" s="205">
        <f>C86*B67</f>
        <v>90625</v>
      </c>
      <c r="D88" s="205" t="s">
        <v>276</v>
      </c>
      <c r="E88" s="205" t="s">
        <v>899</v>
      </c>
    </row>
    <row r="90" spans="1:6" x14ac:dyDescent="0.2">
      <c r="B90" s="205" t="s">
        <v>900</v>
      </c>
    </row>
    <row r="91" spans="1:6" x14ac:dyDescent="0.2">
      <c r="A91" s="205" t="s">
        <v>901</v>
      </c>
    </row>
    <row r="93" spans="1:6" x14ac:dyDescent="0.2">
      <c r="A93" s="135"/>
      <c r="B93" s="485" t="s">
        <v>902</v>
      </c>
      <c r="C93" s="485"/>
      <c r="D93" s="485"/>
      <c r="E93" s="485"/>
    </row>
    <row r="94" spans="1:6" x14ac:dyDescent="0.2">
      <c r="A94" s="135"/>
      <c r="B94" s="485" t="s">
        <v>850</v>
      </c>
      <c r="C94" s="485"/>
      <c r="D94" s="485" t="s">
        <v>851</v>
      </c>
      <c r="E94" s="485"/>
    </row>
    <row r="95" spans="1:6" x14ac:dyDescent="0.2">
      <c r="A95" s="135" t="s">
        <v>852</v>
      </c>
      <c r="B95" s="135">
        <v>320000</v>
      </c>
      <c r="C95" s="390">
        <f>B95/B99</f>
        <v>50</v>
      </c>
      <c r="D95" s="135">
        <v>270000</v>
      </c>
      <c r="E95" s="206">
        <f>D95/D99</f>
        <v>27</v>
      </c>
    </row>
    <row r="96" spans="1:6" x14ac:dyDescent="0.2">
      <c r="A96" s="135" t="s">
        <v>826</v>
      </c>
      <c r="B96" s="135">
        <v>190000</v>
      </c>
      <c r="C96" s="390">
        <f>B96/B99</f>
        <v>29.6875</v>
      </c>
      <c r="D96" s="135">
        <v>285000</v>
      </c>
      <c r="E96" s="206">
        <f>D96/D99</f>
        <v>28.5</v>
      </c>
    </row>
    <row r="97" spans="1:5" x14ac:dyDescent="0.2">
      <c r="A97" s="135" t="s">
        <v>827</v>
      </c>
      <c r="B97" s="135">
        <v>110000</v>
      </c>
      <c r="C97" s="390">
        <f>B97/B99</f>
        <v>17.1875</v>
      </c>
      <c r="D97" s="135">
        <v>165000</v>
      </c>
      <c r="E97" s="206">
        <f>D97/D99</f>
        <v>16.5</v>
      </c>
    </row>
    <row r="98" spans="1:5" x14ac:dyDescent="0.2">
      <c r="A98" s="135" t="s">
        <v>853</v>
      </c>
      <c r="B98" s="391">
        <v>620000</v>
      </c>
      <c r="C98" s="390">
        <f>SUM(C95:C97)</f>
        <v>96.875</v>
      </c>
      <c r="D98" s="391">
        <v>720000</v>
      </c>
      <c r="E98" s="135">
        <f>SUM(E95:E97)</f>
        <v>72</v>
      </c>
    </row>
    <row r="99" spans="1:5" x14ac:dyDescent="0.2">
      <c r="A99" s="135" t="s">
        <v>854</v>
      </c>
      <c r="B99" s="135">
        <v>6400</v>
      </c>
      <c r="C99" s="135"/>
      <c r="D99" s="135">
        <v>10000</v>
      </c>
      <c r="E99" s="135"/>
    </row>
    <row r="100" spans="1:5" x14ac:dyDescent="0.2">
      <c r="A100" s="135" t="s">
        <v>855</v>
      </c>
      <c r="B100" s="392">
        <v>96.875</v>
      </c>
      <c r="C100" s="142"/>
      <c r="D100" s="392">
        <v>72</v>
      </c>
      <c r="E100" s="135"/>
    </row>
    <row r="102" spans="1:5" x14ac:dyDescent="0.2">
      <c r="B102" s="486" t="s">
        <v>903</v>
      </c>
      <c r="C102" s="486"/>
      <c r="D102" s="486"/>
      <c r="E102" s="486"/>
    </row>
    <row r="103" spans="1:5" x14ac:dyDescent="0.2">
      <c r="A103" s="135"/>
      <c r="B103" s="485" t="s">
        <v>850</v>
      </c>
      <c r="C103" s="485"/>
      <c r="D103" s="485" t="s">
        <v>851</v>
      </c>
      <c r="E103" s="485"/>
    </row>
    <row r="104" spans="1:5" x14ac:dyDescent="0.2">
      <c r="A104" s="135" t="s">
        <v>852</v>
      </c>
      <c r="B104" s="135">
        <v>320000</v>
      </c>
      <c r="C104" s="390">
        <f>B104/B108</f>
        <v>50</v>
      </c>
      <c r="D104" s="135">
        <v>270000</v>
      </c>
      <c r="E104" s="206">
        <f>D104/D108</f>
        <v>27</v>
      </c>
    </row>
    <row r="105" spans="1:5" x14ac:dyDescent="0.2">
      <c r="A105" s="135" t="s">
        <v>826</v>
      </c>
      <c r="B105" s="135">
        <v>190000</v>
      </c>
      <c r="C105" s="390">
        <f>B105/B108</f>
        <v>29.6875</v>
      </c>
      <c r="D105" s="135">
        <v>285000</v>
      </c>
      <c r="E105" s="206">
        <f>D105/D108</f>
        <v>28.5</v>
      </c>
    </row>
    <row r="106" spans="1:5" x14ac:dyDescent="0.2">
      <c r="A106" s="135" t="s">
        <v>827</v>
      </c>
      <c r="B106" s="141">
        <f>C106*B108</f>
        <v>128000</v>
      </c>
      <c r="C106" s="390">
        <v>20</v>
      </c>
      <c r="D106" s="141">
        <f>E106*D108</f>
        <v>200000</v>
      </c>
      <c r="E106" s="206">
        <v>20</v>
      </c>
    </row>
    <row r="107" spans="1:5" x14ac:dyDescent="0.2">
      <c r="A107" s="135" t="s">
        <v>853</v>
      </c>
      <c r="B107" s="391">
        <f>B104+B105+B106</f>
        <v>638000</v>
      </c>
      <c r="C107" s="390">
        <f>SUM(C104:C106)</f>
        <v>99.6875</v>
      </c>
      <c r="D107" s="391">
        <f>D104+D105+D106</f>
        <v>755000</v>
      </c>
      <c r="E107" s="206">
        <f>SUM(E104:E106)</f>
        <v>75.5</v>
      </c>
    </row>
    <row r="108" spans="1:5" x14ac:dyDescent="0.2">
      <c r="A108" s="135" t="s">
        <v>854</v>
      </c>
      <c r="B108" s="135">
        <v>6400</v>
      </c>
      <c r="C108" s="135">
        <v>10000</v>
      </c>
      <c r="D108" s="135">
        <v>10000</v>
      </c>
      <c r="E108" s="135"/>
    </row>
    <row r="109" spans="1:5" x14ac:dyDescent="0.2">
      <c r="A109" s="135" t="s">
        <v>855</v>
      </c>
      <c r="B109" s="393">
        <f>C107</f>
        <v>99.6875</v>
      </c>
      <c r="C109" s="135"/>
      <c r="D109" s="394">
        <f>E107</f>
        <v>75.5</v>
      </c>
      <c r="E109" s="135"/>
    </row>
    <row r="113" spans="1:12" x14ac:dyDescent="0.2">
      <c r="A113" s="205" t="s">
        <v>66</v>
      </c>
    </row>
    <row r="114" spans="1:12" x14ac:dyDescent="0.2">
      <c r="B114" s="135" t="s">
        <v>850</v>
      </c>
      <c r="C114" s="378"/>
      <c r="D114" s="135" t="s">
        <v>851</v>
      </c>
      <c r="E114" s="378"/>
      <c r="F114" s="205" t="s">
        <v>4</v>
      </c>
    </row>
    <row r="115" spans="1:12" x14ac:dyDescent="0.2">
      <c r="A115" s="205" t="s">
        <v>857</v>
      </c>
      <c r="B115" s="387">
        <f>6400*160</f>
        <v>1024000</v>
      </c>
      <c r="C115" s="378">
        <v>1</v>
      </c>
      <c r="D115" s="387">
        <f>10000*170</f>
        <v>1700000</v>
      </c>
      <c r="E115" s="378">
        <v>1</v>
      </c>
      <c r="F115" s="387">
        <f>B115+D115</f>
        <v>2724000</v>
      </c>
      <c r="G115" s="378">
        <v>1</v>
      </c>
    </row>
    <row r="116" spans="1:12" x14ac:dyDescent="0.2">
      <c r="A116" s="205" t="s">
        <v>858</v>
      </c>
      <c r="B116" s="205">
        <f>-B107</f>
        <v>-638000</v>
      </c>
      <c r="C116" s="378">
        <f>-B116/B115</f>
        <v>0.623046875</v>
      </c>
      <c r="D116" s="205">
        <f>-D107</f>
        <v>-755000</v>
      </c>
      <c r="E116" s="378">
        <f>-D116/D115</f>
        <v>0.44411764705882351</v>
      </c>
      <c r="F116" s="205">
        <f>B116+D116</f>
        <v>-1393000</v>
      </c>
      <c r="G116" s="378">
        <f>-F116/F115</f>
        <v>0.5113803230543319</v>
      </c>
    </row>
    <row r="117" spans="1:12" x14ac:dyDescent="0.2">
      <c r="A117" s="205" t="s">
        <v>859</v>
      </c>
      <c r="C117" s="378"/>
      <c r="E117" s="378"/>
      <c r="F117" s="205">
        <f>B117+D117</f>
        <v>0</v>
      </c>
      <c r="G117" s="378"/>
    </row>
    <row r="118" spans="1:12" x14ac:dyDescent="0.2">
      <c r="A118" s="205" t="s">
        <v>860</v>
      </c>
      <c r="B118" s="205">
        <f>B115+B116</f>
        <v>386000</v>
      </c>
      <c r="C118" s="378">
        <f>B118/B115</f>
        <v>0.376953125</v>
      </c>
      <c r="D118" s="205">
        <f>D115+D116</f>
        <v>945000</v>
      </c>
      <c r="E118" s="378">
        <f>D118/D115</f>
        <v>0.55588235294117649</v>
      </c>
      <c r="F118" s="205">
        <f>B118+D118</f>
        <v>1331000</v>
      </c>
      <c r="G118" s="378">
        <f>F118/F115</f>
        <v>0.48861967694566816</v>
      </c>
    </row>
    <row r="119" spans="1:12" x14ac:dyDescent="0.2">
      <c r="A119" s="205" t="s">
        <v>861</v>
      </c>
      <c r="C119" s="378"/>
      <c r="E119" s="378"/>
      <c r="F119" s="205">
        <f>-(C5+D5+F5+G5)</f>
        <v>-919000</v>
      </c>
      <c r="G119" s="378"/>
    </row>
    <row r="120" spans="1:12" x14ac:dyDescent="0.2">
      <c r="A120" s="205" t="s">
        <v>862</v>
      </c>
      <c r="C120" s="378"/>
      <c r="E120" s="378"/>
      <c r="F120" s="395">
        <f>SUM(F118:F119)</f>
        <v>412000</v>
      </c>
      <c r="G120" s="378"/>
    </row>
    <row r="122" spans="1:12" x14ac:dyDescent="0.2">
      <c r="F122" s="205" t="s">
        <v>66</v>
      </c>
    </row>
    <row r="123" spans="1:12" x14ac:dyDescent="0.2">
      <c r="G123" s="205" t="s">
        <v>850</v>
      </c>
      <c r="I123" s="205" t="s">
        <v>851</v>
      </c>
      <c r="K123" s="205" t="s">
        <v>4</v>
      </c>
    </row>
    <row r="124" spans="1:12" x14ac:dyDescent="0.2">
      <c r="A124" s="205" t="s">
        <v>863</v>
      </c>
      <c r="B124" s="205" t="s">
        <v>904</v>
      </c>
      <c r="C124" s="205">
        <f>919000/G118</f>
        <v>1880808.41472577</v>
      </c>
      <c r="D124" s="205" t="s">
        <v>276</v>
      </c>
      <c r="F124" s="205" t="s">
        <v>857</v>
      </c>
      <c r="G124" s="205">
        <v>1024000</v>
      </c>
      <c r="H124" s="205">
        <v>1</v>
      </c>
      <c r="I124" s="205">
        <v>1700000</v>
      </c>
      <c r="J124" s="205">
        <v>1</v>
      </c>
      <c r="K124" s="205">
        <v>2724000</v>
      </c>
      <c r="L124" s="205">
        <v>1</v>
      </c>
    </row>
    <row r="125" spans="1:12" x14ac:dyDescent="0.2">
      <c r="F125" s="205" t="s">
        <v>858</v>
      </c>
      <c r="G125" s="205">
        <v>-620000</v>
      </c>
      <c r="H125" s="205">
        <v>0.60546875</v>
      </c>
      <c r="I125" s="205">
        <v>-720000</v>
      </c>
      <c r="J125" s="205">
        <v>0.42352941176470588</v>
      </c>
      <c r="K125" s="205">
        <v>-1340000</v>
      </c>
      <c r="L125" s="205">
        <v>0.49192364170337738</v>
      </c>
    </row>
    <row r="126" spans="1:12" x14ac:dyDescent="0.2">
      <c r="F126" s="205" t="s">
        <v>859</v>
      </c>
      <c r="K126" s="205">
        <v>0</v>
      </c>
    </row>
    <row r="127" spans="1:12" x14ac:dyDescent="0.2">
      <c r="F127" s="205" t="s">
        <v>860</v>
      </c>
      <c r="G127" s="205">
        <v>404000</v>
      </c>
      <c r="H127" s="205">
        <v>0.39453125</v>
      </c>
      <c r="I127" s="205">
        <v>980000</v>
      </c>
      <c r="J127" s="205">
        <v>0.57647058823529407</v>
      </c>
      <c r="K127" s="205">
        <v>1384000</v>
      </c>
      <c r="L127" s="205">
        <v>0.50807635829662257</v>
      </c>
    </row>
    <row r="128" spans="1:12" x14ac:dyDescent="0.2">
      <c r="F128" s="205" t="s">
        <v>861</v>
      </c>
      <c r="K128" s="205">
        <v>-1369000</v>
      </c>
      <c r="L128" s="205">
        <v>0.50256975036710716</v>
      </c>
    </row>
    <row r="129" spans="6:12" x14ac:dyDescent="0.2">
      <c r="F129" s="205" t="s">
        <v>862</v>
      </c>
      <c r="K129" s="205">
        <v>15000</v>
      </c>
      <c r="L129" s="205">
        <v>5.5066079295154188E-3</v>
      </c>
    </row>
  </sheetData>
  <mergeCells count="34">
    <mergeCell ref="D13:E13"/>
    <mergeCell ref="A14:D14"/>
    <mergeCell ref="B35:C35"/>
    <mergeCell ref="D35:E35"/>
    <mergeCell ref="A54:A55"/>
    <mergeCell ref="B54:B55"/>
    <mergeCell ref="F54:F55"/>
    <mergeCell ref="G54:G55"/>
    <mergeCell ref="H54:H55"/>
    <mergeCell ref="I54:I55"/>
    <mergeCell ref="A56:A57"/>
    <mergeCell ref="B56:B57"/>
    <mergeCell ref="F56:F57"/>
    <mergeCell ref="G56:G57"/>
    <mergeCell ref="H56:H57"/>
    <mergeCell ref="I56:I57"/>
    <mergeCell ref="I60:I61"/>
    <mergeCell ref="A58:A59"/>
    <mergeCell ref="B58:B59"/>
    <mergeCell ref="F58:F59"/>
    <mergeCell ref="G58:G59"/>
    <mergeCell ref="H58:H59"/>
    <mergeCell ref="I58:I59"/>
    <mergeCell ref="A60:A61"/>
    <mergeCell ref="B60:B61"/>
    <mergeCell ref="F60:F61"/>
    <mergeCell ref="G60:G61"/>
    <mergeCell ref="H60:H61"/>
    <mergeCell ref="B93:E93"/>
    <mergeCell ref="B94:C94"/>
    <mergeCell ref="D94:E94"/>
    <mergeCell ref="B102:E102"/>
    <mergeCell ref="B103:C103"/>
    <mergeCell ref="D103:E10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K93"/>
  <sheetViews>
    <sheetView workbookViewId="0">
      <selection activeCell="K20" sqref="K20"/>
    </sheetView>
  </sheetViews>
  <sheetFormatPr baseColWidth="10" defaultColWidth="4.5" defaultRowHeight="13" x14ac:dyDescent="0.15"/>
  <cols>
    <col min="1" max="1" width="11.5" style="396" customWidth="1"/>
    <col min="2" max="2" width="12.33203125" style="396" bestFit="1" customWidth="1"/>
    <col min="3" max="3" width="14.33203125" style="396" customWidth="1"/>
    <col min="4" max="255" width="11.5" style="396" customWidth="1"/>
    <col min="256" max="16384" width="4.5" style="396"/>
  </cols>
  <sheetData>
    <row r="2" spans="1:7" ht="16" x14ac:dyDescent="0.2">
      <c r="A2" s="397" t="s">
        <v>905</v>
      </c>
    </row>
    <row r="3" spans="1:7" ht="16" x14ac:dyDescent="0.2">
      <c r="A3" s="398"/>
    </row>
    <row r="4" spans="1:7" x14ac:dyDescent="0.15">
      <c r="F4" s="399"/>
    </row>
    <row r="6" spans="1:7" ht="14" x14ac:dyDescent="0.15">
      <c r="A6" s="400" t="s">
        <v>906</v>
      </c>
      <c r="B6" s="400"/>
      <c r="C6" s="400"/>
      <c r="D6" s="400"/>
    </row>
    <row r="7" spans="1:7" ht="14" x14ac:dyDescent="0.15">
      <c r="A7" s="400" t="s">
        <v>907</v>
      </c>
      <c r="B7" s="400"/>
      <c r="C7" s="400"/>
      <c r="D7" s="400" t="s">
        <v>908</v>
      </c>
    </row>
    <row r="8" spans="1:7" x14ac:dyDescent="0.15">
      <c r="A8" s="396" t="s">
        <v>908</v>
      </c>
    </row>
    <row r="9" spans="1:7" x14ac:dyDescent="0.15">
      <c r="A9" s="396" t="s">
        <v>909</v>
      </c>
    </row>
    <row r="10" spans="1:7" x14ac:dyDescent="0.15">
      <c r="A10" s="396" t="s">
        <v>910</v>
      </c>
    </row>
    <row r="11" spans="1:7" x14ac:dyDescent="0.15">
      <c r="A11" s="396" t="s">
        <v>911</v>
      </c>
      <c r="G11" s="396">
        <f>1000*200*104</f>
        <v>20800000</v>
      </c>
    </row>
    <row r="12" spans="1:7" x14ac:dyDescent="0.15">
      <c r="A12" s="401"/>
    </row>
    <row r="13" spans="1:7" x14ac:dyDescent="0.15">
      <c r="A13" s="396" t="s">
        <v>912</v>
      </c>
      <c r="D13" s="396">
        <f>G11</f>
        <v>20800000</v>
      </c>
    </row>
    <row r="14" spans="1:7" x14ac:dyDescent="0.15">
      <c r="A14" s="396" t="s">
        <v>913</v>
      </c>
      <c r="D14" s="396">
        <f>-6240000</f>
        <v>-6240000</v>
      </c>
    </row>
    <row r="15" spans="1:7" x14ac:dyDescent="0.15">
      <c r="A15" s="396" t="s">
        <v>860</v>
      </c>
      <c r="D15" s="396">
        <f>D13+D14</f>
        <v>14560000</v>
      </c>
      <c r="E15" s="402">
        <f>D15/D13</f>
        <v>0.7</v>
      </c>
    </row>
    <row r="16" spans="1:7" x14ac:dyDescent="0.15">
      <c r="A16" s="396" t="s">
        <v>914</v>
      </c>
      <c r="D16" s="396">
        <v>-18200000</v>
      </c>
    </row>
    <row r="17" spans="1:9" x14ac:dyDescent="0.15">
      <c r="A17" s="396" t="s">
        <v>915</v>
      </c>
      <c r="D17" s="396">
        <f>D15+D16</f>
        <v>-3640000</v>
      </c>
    </row>
    <row r="20" spans="1:9" x14ac:dyDescent="0.15">
      <c r="A20" s="396" t="s">
        <v>916</v>
      </c>
      <c r="F20" s="396" t="s">
        <v>917</v>
      </c>
      <c r="G20" s="396" t="s">
        <v>904</v>
      </c>
      <c r="H20" s="396">
        <f>18200000/E15</f>
        <v>26000000</v>
      </c>
      <c r="I20" s="396" t="s">
        <v>485</v>
      </c>
    </row>
    <row r="22" spans="1:9" x14ac:dyDescent="0.15">
      <c r="A22" s="396" t="s">
        <v>918</v>
      </c>
      <c r="D22" s="396">
        <f>1000*200</f>
        <v>200000</v>
      </c>
    </row>
    <row r="23" spans="1:9" x14ac:dyDescent="0.15">
      <c r="A23" s="396" t="s">
        <v>919</v>
      </c>
      <c r="B23" s="396" t="s">
        <v>908</v>
      </c>
      <c r="D23" s="396">
        <v>18200000</v>
      </c>
    </row>
    <row r="24" spans="1:9" x14ac:dyDescent="0.15">
      <c r="A24" s="396" t="s">
        <v>920</v>
      </c>
      <c r="D24" s="396">
        <f>60000</f>
        <v>60000</v>
      </c>
    </row>
    <row r="26" spans="1:9" x14ac:dyDescent="0.15">
      <c r="A26" s="396" t="s">
        <v>921</v>
      </c>
      <c r="E26" s="396">
        <f>D23/(D22-D24)</f>
        <v>130</v>
      </c>
      <c r="F26" s="396" t="s">
        <v>922</v>
      </c>
    </row>
    <row r="28" spans="1:9" x14ac:dyDescent="0.15">
      <c r="A28" s="396" t="s">
        <v>923</v>
      </c>
      <c r="C28" s="403">
        <f>E26/52</f>
        <v>2.5</v>
      </c>
    </row>
    <row r="30" spans="1:9" ht="14" x14ac:dyDescent="0.15">
      <c r="A30" s="400" t="s">
        <v>924</v>
      </c>
    </row>
    <row r="31" spans="1:9" ht="14" x14ac:dyDescent="0.15">
      <c r="A31" s="400" t="s">
        <v>925</v>
      </c>
    </row>
    <row r="33" spans="1:5" x14ac:dyDescent="0.15">
      <c r="A33" s="396" t="s">
        <v>926</v>
      </c>
    </row>
    <row r="35" spans="1:5" x14ac:dyDescent="0.15">
      <c r="A35" s="396" t="s">
        <v>927</v>
      </c>
    </row>
    <row r="36" spans="1:5" x14ac:dyDescent="0.15">
      <c r="A36" s="404"/>
    </row>
    <row r="37" spans="1:5" x14ac:dyDescent="0.15">
      <c r="A37" s="396" t="s">
        <v>928</v>
      </c>
    </row>
    <row r="38" spans="1:5" x14ac:dyDescent="0.15">
      <c r="A38" s="396" t="s">
        <v>909</v>
      </c>
    </row>
    <row r="39" spans="1:5" ht="17.25" customHeight="1" x14ac:dyDescent="0.15">
      <c r="A39" s="396" t="s">
        <v>929</v>
      </c>
      <c r="E39" s="396">
        <f>D23/104</f>
        <v>175000</v>
      </c>
    </row>
    <row r="40" spans="1:5" ht="17.25" customHeight="1" x14ac:dyDescent="0.15">
      <c r="A40" s="396" t="s">
        <v>930</v>
      </c>
    </row>
    <row r="41" spans="1:5" ht="17.25" customHeight="1" x14ac:dyDescent="0.15"/>
    <row r="42" spans="1:5" ht="17.25" customHeight="1" x14ac:dyDescent="0.15">
      <c r="A42" s="396" t="s">
        <v>931</v>
      </c>
    </row>
    <row r="43" spans="1:5" ht="17.25" customHeight="1" x14ac:dyDescent="0.15">
      <c r="A43" s="396" t="s">
        <v>932</v>
      </c>
    </row>
    <row r="44" spans="1:5" x14ac:dyDescent="0.15">
      <c r="A44" s="396" t="s">
        <v>933</v>
      </c>
    </row>
    <row r="45" spans="1:5" x14ac:dyDescent="0.15">
      <c r="A45" s="396" t="s">
        <v>934</v>
      </c>
      <c r="B45" s="405"/>
      <c r="D45" s="401">
        <f>235000/940</f>
        <v>250</v>
      </c>
      <c r="E45" s="401" t="s">
        <v>935</v>
      </c>
    </row>
    <row r="48" spans="1:5" ht="14" x14ac:dyDescent="0.15">
      <c r="A48" s="400" t="s">
        <v>936</v>
      </c>
    </row>
    <row r="49" spans="1:7" ht="14" x14ac:dyDescent="0.15">
      <c r="A49" s="400" t="s">
        <v>937</v>
      </c>
      <c r="E49" s="406"/>
    </row>
    <row r="51" spans="1:7" x14ac:dyDescent="0.15">
      <c r="A51" s="396" t="s">
        <v>938</v>
      </c>
      <c r="B51" s="396" t="s">
        <v>939</v>
      </c>
    </row>
    <row r="53" spans="1:7" x14ac:dyDescent="0.15">
      <c r="A53" s="396" t="s">
        <v>940</v>
      </c>
      <c r="B53" s="396" t="s">
        <v>941</v>
      </c>
    </row>
    <row r="57" spans="1:7" x14ac:dyDescent="0.15">
      <c r="A57" s="396" t="s">
        <v>942</v>
      </c>
      <c r="E57" s="396">
        <f>150*800</f>
        <v>120000</v>
      </c>
    </row>
    <row r="58" spans="1:7" x14ac:dyDescent="0.15">
      <c r="A58" s="396" t="s">
        <v>943</v>
      </c>
      <c r="E58" s="396">
        <v>60000</v>
      </c>
    </row>
    <row r="59" spans="1:7" x14ac:dyDescent="0.15">
      <c r="G59" s="396" t="s">
        <v>908</v>
      </c>
    </row>
    <row r="60" spans="1:7" x14ac:dyDescent="0.15">
      <c r="A60" s="396" t="s">
        <v>944</v>
      </c>
      <c r="E60" s="396">
        <f>E57-E58</f>
        <v>60000</v>
      </c>
      <c r="G60" s="396" t="s">
        <v>945</v>
      </c>
    </row>
    <row r="62" spans="1:7" x14ac:dyDescent="0.15">
      <c r="A62" s="396" t="s">
        <v>946</v>
      </c>
    </row>
    <row r="64" spans="1:7" x14ac:dyDescent="0.15">
      <c r="A64" s="396" t="s">
        <v>947</v>
      </c>
      <c r="D64" s="396">
        <f>E60*26</f>
        <v>1560000</v>
      </c>
      <c r="F64" s="396" t="s">
        <v>948</v>
      </c>
    </row>
    <row r="66" spans="1:11" x14ac:dyDescent="0.15">
      <c r="A66" s="401" t="s">
        <v>949</v>
      </c>
    </row>
    <row r="67" spans="1:11" x14ac:dyDescent="0.15">
      <c r="A67" s="401"/>
    </row>
    <row r="68" spans="1:11" x14ac:dyDescent="0.15">
      <c r="A68" s="396" t="s">
        <v>950</v>
      </c>
      <c r="H68" s="396">
        <v>23920000</v>
      </c>
    </row>
    <row r="69" spans="1:11" x14ac:dyDescent="0.15">
      <c r="A69" s="396" t="s">
        <v>951</v>
      </c>
      <c r="C69" s="396">
        <f>120000*26+20800000</f>
        <v>23920000</v>
      </c>
    </row>
    <row r="70" spans="1:11" x14ac:dyDescent="0.15">
      <c r="A70" s="396" t="s">
        <v>909</v>
      </c>
      <c r="H70" s="396">
        <v>18200000</v>
      </c>
    </row>
    <row r="71" spans="1:11" x14ac:dyDescent="0.15">
      <c r="A71" s="396" t="s">
        <v>952</v>
      </c>
    </row>
    <row r="72" spans="1:11" x14ac:dyDescent="0.15">
      <c r="A72" s="396" t="s">
        <v>953</v>
      </c>
      <c r="C72" s="396">
        <f>6240000+1560000</f>
        <v>7800000</v>
      </c>
      <c r="H72" s="396">
        <v>7800000</v>
      </c>
    </row>
    <row r="73" spans="1:11" x14ac:dyDescent="0.15">
      <c r="A73" s="401"/>
    </row>
    <row r="74" spans="1:11" x14ac:dyDescent="0.15">
      <c r="A74" s="401"/>
      <c r="H74" s="396">
        <f>H68-H70-H72</f>
        <v>-2080000</v>
      </c>
      <c r="K74" s="396">
        <f>D17+1560000</f>
        <v>-2080000</v>
      </c>
    </row>
    <row r="77" spans="1:11" x14ac:dyDescent="0.15">
      <c r="C77" s="401"/>
    </row>
    <row r="79" spans="1:11" x14ac:dyDescent="0.15">
      <c r="A79" s="406" t="s">
        <v>908</v>
      </c>
      <c r="E79" s="406" t="s">
        <v>908</v>
      </c>
      <c r="F79" s="396" t="s">
        <v>908</v>
      </c>
    </row>
    <row r="80" spans="1:11" x14ac:dyDescent="0.15">
      <c r="A80" s="404"/>
    </row>
    <row r="81" spans="1:1" ht="14" x14ac:dyDescent="0.15">
      <c r="A81" s="400" t="s">
        <v>954</v>
      </c>
    </row>
    <row r="82" spans="1:1" ht="14" x14ac:dyDescent="0.15">
      <c r="A82" s="400" t="s">
        <v>955</v>
      </c>
    </row>
    <row r="84" spans="1:1" x14ac:dyDescent="0.15">
      <c r="A84" s="396" t="s">
        <v>956</v>
      </c>
    </row>
    <row r="85" spans="1:1" x14ac:dyDescent="0.15">
      <c r="A85" s="396" t="s">
        <v>957</v>
      </c>
    </row>
    <row r="86" spans="1:1" x14ac:dyDescent="0.15">
      <c r="A86" s="396" t="s">
        <v>958</v>
      </c>
    </row>
    <row r="87" spans="1:1" x14ac:dyDescent="0.15">
      <c r="A87" s="405" t="s">
        <v>959</v>
      </c>
    </row>
    <row r="93" spans="1:1" ht="14" x14ac:dyDescent="0.15">
      <c r="A93" s="400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H37"/>
  <sheetViews>
    <sheetView workbookViewId="0">
      <selection activeCell="D15" sqref="D15"/>
    </sheetView>
  </sheetViews>
  <sheetFormatPr baseColWidth="10" defaultColWidth="11.5" defaultRowHeight="15" x14ac:dyDescent="0.2"/>
  <cols>
    <col min="1" max="1" width="36.83203125" style="261" bestFit="1" customWidth="1"/>
    <col min="2" max="2" width="26.5" style="261" bestFit="1" customWidth="1"/>
    <col min="3" max="4" width="13.6640625" style="261" bestFit="1" customWidth="1"/>
    <col min="5" max="5" width="14.83203125" style="261" bestFit="1" customWidth="1"/>
    <col min="6" max="6" width="5.83203125" style="261" bestFit="1" customWidth="1"/>
    <col min="7" max="9" width="13.6640625" style="261" bestFit="1" customWidth="1"/>
    <col min="10" max="10" width="12.6640625" style="261" bestFit="1" customWidth="1"/>
    <col min="11" max="16384" width="11.5" style="261"/>
  </cols>
  <sheetData>
    <row r="2" spans="1:8" x14ac:dyDescent="0.2">
      <c r="A2" s="261" t="s">
        <v>424</v>
      </c>
      <c r="B2" s="261">
        <v>500000</v>
      </c>
      <c r="C2" s="261" t="s">
        <v>276</v>
      </c>
      <c r="D2" s="418">
        <f>B2/20000</f>
        <v>25</v>
      </c>
      <c r="E2" s="261" t="s">
        <v>1048</v>
      </c>
      <c r="G2" s="261" t="s">
        <v>473</v>
      </c>
      <c r="H2" s="261">
        <v>20000</v>
      </c>
    </row>
    <row r="4" spans="1:8" x14ac:dyDescent="0.2">
      <c r="A4" s="261" t="s">
        <v>484</v>
      </c>
      <c r="B4" s="261" t="s">
        <v>1073</v>
      </c>
      <c r="C4" s="261">
        <v>300000</v>
      </c>
      <c r="D4" s="261" t="s">
        <v>276</v>
      </c>
      <c r="E4" s="261" t="s">
        <v>539</v>
      </c>
      <c r="F4" s="261" t="s">
        <v>896</v>
      </c>
      <c r="G4" s="261">
        <f>C4/20000</f>
        <v>15</v>
      </c>
      <c r="H4" s="261" t="s">
        <v>276</v>
      </c>
    </row>
    <row r="5" spans="1:8" x14ac:dyDescent="0.2">
      <c r="B5" s="261" t="s">
        <v>1074</v>
      </c>
      <c r="C5" s="261">
        <v>150000</v>
      </c>
      <c r="D5" s="261" t="s">
        <v>276</v>
      </c>
      <c r="E5" s="261" t="s">
        <v>540</v>
      </c>
    </row>
    <row r="7" spans="1:8" x14ac:dyDescent="0.2">
      <c r="G7" s="261" t="s">
        <v>1075</v>
      </c>
      <c r="H7" s="261">
        <f>D2-G4</f>
        <v>10</v>
      </c>
    </row>
    <row r="8" spans="1:8" x14ac:dyDescent="0.2">
      <c r="A8" s="261" t="s">
        <v>1076</v>
      </c>
      <c r="G8" s="261" t="s">
        <v>1077</v>
      </c>
      <c r="H8" s="261">
        <f>H7*H2</f>
        <v>200000</v>
      </c>
    </row>
    <row r="10" spans="1:8" x14ac:dyDescent="0.2">
      <c r="A10" s="261" t="s">
        <v>857</v>
      </c>
      <c r="B10" s="261">
        <f>B2</f>
        <v>500000</v>
      </c>
    </row>
    <row r="11" spans="1:8" x14ac:dyDescent="0.2">
      <c r="A11" s="261" t="s">
        <v>1078</v>
      </c>
      <c r="B11" s="261">
        <v>-300000</v>
      </c>
    </row>
    <row r="12" spans="1:8" x14ac:dyDescent="0.2">
      <c r="A12" s="261" t="s">
        <v>860</v>
      </c>
      <c r="B12" s="261">
        <f>B10+B11</f>
        <v>200000</v>
      </c>
      <c r="C12" s="423">
        <f>B12/B10</f>
        <v>0.4</v>
      </c>
    </row>
    <row r="13" spans="1:8" x14ac:dyDescent="0.2">
      <c r="A13" s="261" t="s">
        <v>1079</v>
      </c>
      <c r="B13" s="261">
        <f>-C5</f>
        <v>-150000</v>
      </c>
    </row>
    <row r="14" spans="1:8" x14ac:dyDescent="0.2">
      <c r="A14" s="261" t="s">
        <v>1080</v>
      </c>
      <c r="B14" s="418">
        <f>B12+B13</f>
        <v>50000</v>
      </c>
    </row>
    <row r="16" spans="1:8" x14ac:dyDescent="0.2">
      <c r="A16" s="261" t="s">
        <v>863</v>
      </c>
    </row>
    <row r="18" spans="1:7" x14ac:dyDescent="0.2">
      <c r="A18" s="424" t="s">
        <v>1081</v>
      </c>
      <c r="B18" s="261">
        <f>C5/C12</f>
        <v>375000</v>
      </c>
      <c r="C18" s="261" t="s">
        <v>485</v>
      </c>
      <c r="D18" s="421" t="s">
        <v>540</v>
      </c>
      <c r="E18" s="422">
        <v>150000</v>
      </c>
    </row>
    <row r="19" spans="1:7" x14ac:dyDescent="0.2">
      <c r="D19" s="330" t="s">
        <v>1082</v>
      </c>
      <c r="E19" s="423">
        <f>C12</f>
        <v>0.4</v>
      </c>
    </row>
    <row r="20" spans="1:7" x14ac:dyDescent="0.2">
      <c r="A20" s="261" t="s">
        <v>1083</v>
      </c>
      <c r="B20" s="261">
        <f>C5/(D2-G4)</f>
        <v>15000</v>
      </c>
      <c r="C20" s="261" t="s">
        <v>473</v>
      </c>
      <c r="E20" s="421" t="s">
        <v>540</v>
      </c>
      <c r="G20" s="422">
        <v>150000</v>
      </c>
    </row>
    <row r="21" spans="1:7" x14ac:dyDescent="0.2">
      <c r="E21" s="330" t="s">
        <v>1084</v>
      </c>
      <c r="G21" s="261" t="s">
        <v>1085</v>
      </c>
    </row>
    <row r="22" spans="1:7" x14ac:dyDescent="0.2">
      <c r="A22" s="261" t="s">
        <v>1086</v>
      </c>
    </row>
    <row r="24" spans="1:7" x14ac:dyDescent="0.2">
      <c r="A24" s="261" t="s">
        <v>1087</v>
      </c>
      <c r="C24" s="421" t="s">
        <v>1088</v>
      </c>
      <c r="D24" s="261" t="s">
        <v>1089</v>
      </c>
      <c r="E24" s="423">
        <f>B14/C5</f>
        <v>0.33333333333333331</v>
      </c>
      <c r="G24" s="261" t="s">
        <v>1090</v>
      </c>
    </row>
    <row r="25" spans="1:7" x14ac:dyDescent="0.2">
      <c r="C25" s="330" t="s">
        <v>540</v>
      </c>
    </row>
    <row r="28" spans="1:7" x14ac:dyDescent="0.2">
      <c r="A28" s="261" t="s">
        <v>1091</v>
      </c>
      <c r="C28" s="421" t="s">
        <v>1088</v>
      </c>
      <c r="D28" s="261" t="s">
        <v>1089</v>
      </c>
      <c r="E28" s="423">
        <f>B14/C4</f>
        <v>0.16666666666666666</v>
      </c>
      <c r="G28" s="261" t="s">
        <v>1092</v>
      </c>
    </row>
    <row r="29" spans="1:7" x14ac:dyDescent="0.2">
      <c r="C29" s="330" t="s">
        <v>539</v>
      </c>
    </row>
    <row r="32" spans="1:7" x14ac:dyDescent="0.2">
      <c r="A32" s="261" t="s">
        <v>1093</v>
      </c>
      <c r="C32" s="421" t="s">
        <v>1094</v>
      </c>
      <c r="D32" s="261" t="s">
        <v>1089</v>
      </c>
      <c r="E32" s="425" t="s">
        <v>1095</v>
      </c>
      <c r="G32" s="423">
        <f>(B2-B18)/B2</f>
        <v>0.25</v>
      </c>
    </row>
    <row r="33" spans="1:5" x14ac:dyDescent="0.2">
      <c r="C33" s="330" t="s">
        <v>1096</v>
      </c>
      <c r="E33" s="261">
        <v>500000</v>
      </c>
    </row>
    <row r="36" spans="1:5" x14ac:dyDescent="0.2">
      <c r="A36" s="261" t="s">
        <v>1097</v>
      </c>
      <c r="C36" s="421" t="s">
        <v>803</v>
      </c>
      <c r="D36" s="422">
        <f>B12</f>
        <v>200000</v>
      </c>
      <c r="E36" s="261">
        <f>D36/D37</f>
        <v>4</v>
      </c>
    </row>
    <row r="37" spans="1:5" x14ac:dyDescent="0.2">
      <c r="C37" s="330" t="s">
        <v>1098</v>
      </c>
      <c r="D37" s="418">
        <f>B14</f>
        <v>50000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3:F126"/>
  <sheetViews>
    <sheetView workbookViewId="0">
      <selection activeCell="B8" sqref="B8"/>
    </sheetView>
  </sheetViews>
  <sheetFormatPr baseColWidth="10" defaultColWidth="11.5" defaultRowHeight="15" x14ac:dyDescent="0.2"/>
  <cols>
    <col min="1" max="1" width="19.83203125" style="147" customWidth="1"/>
    <col min="2" max="2" width="22.5" style="147" customWidth="1"/>
    <col min="3" max="3" width="23.83203125" style="147" customWidth="1"/>
    <col min="4" max="4" width="15.33203125" style="147" customWidth="1"/>
    <col min="5" max="5" width="12.6640625" style="147" bestFit="1" customWidth="1"/>
    <col min="6" max="16384" width="11.5" style="147"/>
  </cols>
  <sheetData>
    <row r="3" spans="1:6" x14ac:dyDescent="0.2">
      <c r="A3" s="147" t="s">
        <v>1009</v>
      </c>
      <c r="E3" s="147" t="s">
        <v>1010</v>
      </c>
    </row>
    <row r="5" spans="1:6" x14ac:dyDescent="0.2">
      <c r="A5" s="147" t="s">
        <v>1011</v>
      </c>
      <c r="D5" s="414">
        <v>70000</v>
      </c>
      <c r="E5" s="147" t="s">
        <v>1012</v>
      </c>
      <c r="F5" s="415">
        <f>70000*200/700000</f>
        <v>20</v>
      </c>
    </row>
    <row r="6" spans="1:6" x14ac:dyDescent="0.2">
      <c r="D6" s="147">
        <v>700000</v>
      </c>
      <c r="F6" s="415"/>
    </row>
    <row r="7" spans="1:6" x14ac:dyDescent="0.2">
      <c r="F7" s="415"/>
    </row>
    <row r="8" spans="1:6" x14ac:dyDescent="0.2">
      <c r="A8" s="147" t="s">
        <v>1013</v>
      </c>
      <c r="D8" s="414">
        <v>200</v>
      </c>
      <c r="E8" s="147" t="s">
        <v>1014</v>
      </c>
      <c r="F8" s="415">
        <f>200*1/10</f>
        <v>20</v>
      </c>
    </row>
    <row r="9" spans="1:6" x14ac:dyDescent="0.2">
      <c r="D9" s="147">
        <v>10</v>
      </c>
      <c r="F9" s="415"/>
    </row>
    <row r="10" spans="1:6" x14ac:dyDescent="0.2">
      <c r="F10" s="415"/>
    </row>
    <row r="11" spans="1:6" x14ac:dyDescent="0.2">
      <c r="A11" s="147" t="s">
        <v>1015</v>
      </c>
      <c r="D11" s="147" t="s">
        <v>1016</v>
      </c>
      <c r="F11" s="415">
        <f>0.1*200</f>
        <v>20</v>
      </c>
    </row>
    <row r="12" spans="1:6" x14ac:dyDescent="0.2">
      <c r="F12" s="415"/>
    </row>
    <row r="13" spans="1:6" x14ac:dyDescent="0.2">
      <c r="A13" s="147" t="s">
        <v>1017</v>
      </c>
      <c r="D13" s="147" t="s">
        <v>1018</v>
      </c>
      <c r="F13" s="415">
        <f>120*2</f>
        <v>240</v>
      </c>
    </row>
    <row r="14" spans="1:6" x14ac:dyDescent="0.2">
      <c r="F14" s="415"/>
    </row>
    <row r="15" spans="1:6" x14ac:dyDescent="0.2">
      <c r="A15" s="147" t="s">
        <v>1019</v>
      </c>
      <c r="D15" s="414">
        <v>90</v>
      </c>
      <c r="E15" s="147" t="s">
        <v>1020</v>
      </c>
      <c r="F15" s="415">
        <f>90*2/30</f>
        <v>6</v>
      </c>
    </row>
    <row r="16" spans="1:6" x14ac:dyDescent="0.2">
      <c r="D16" s="147">
        <v>30</v>
      </c>
      <c r="F16" s="415"/>
    </row>
    <row r="17" spans="1:6" x14ac:dyDescent="0.2">
      <c r="A17" s="147" t="s">
        <v>1021</v>
      </c>
      <c r="F17" s="415">
        <v>5</v>
      </c>
    </row>
    <row r="19" spans="1:6" x14ac:dyDescent="0.2">
      <c r="B19" s="147" t="s">
        <v>1009</v>
      </c>
      <c r="F19" s="416">
        <f>SUM(F5:F17)</f>
        <v>311</v>
      </c>
    </row>
    <row r="21" spans="1:6" x14ac:dyDescent="0.2">
      <c r="A21" s="147" t="s">
        <v>1022</v>
      </c>
      <c r="D21" s="147" t="s">
        <v>1023</v>
      </c>
    </row>
    <row r="22" spans="1:6" x14ac:dyDescent="0.2">
      <c r="A22" s="147" t="s">
        <v>1024</v>
      </c>
      <c r="D22" s="147" t="s">
        <v>1025</v>
      </c>
      <c r="E22" s="147" t="s">
        <v>1026</v>
      </c>
    </row>
    <row r="23" spans="1:6" x14ac:dyDescent="0.2">
      <c r="A23" s="147" t="s">
        <v>1027</v>
      </c>
      <c r="D23" s="147" t="s">
        <v>1028</v>
      </c>
    </row>
    <row r="24" spans="1:6" x14ac:dyDescent="0.2">
      <c r="D24" s="147" t="s">
        <v>1029</v>
      </c>
      <c r="E24" s="261">
        <f>311*5*40</f>
        <v>62200</v>
      </c>
    </row>
    <row r="25" spans="1:6" x14ac:dyDescent="0.2">
      <c r="D25" s="147" t="s">
        <v>1030</v>
      </c>
      <c r="E25" s="261">
        <f>18000+3000</f>
        <v>21000</v>
      </c>
    </row>
    <row r="27" spans="1:6" x14ac:dyDescent="0.2">
      <c r="D27" s="147" t="s">
        <v>1031</v>
      </c>
    </row>
    <row r="28" spans="1:6" x14ac:dyDescent="0.2">
      <c r="D28" s="417" t="s">
        <v>1032</v>
      </c>
      <c r="E28" s="417">
        <f>(E24+E25)/200</f>
        <v>416</v>
      </c>
      <c r="F28" s="417" t="s">
        <v>1033</v>
      </c>
    </row>
    <row r="30" spans="1:6" x14ac:dyDescent="0.2">
      <c r="A30" s="417" t="s">
        <v>1034</v>
      </c>
    </row>
    <row r="31" spans="1:6" x14ac:dyDescent="0.2">
      <c r="B31" s="147" t="s">
        <v>16</v>
      </c>
      <c r="D31" s="261">
        <f>E28*5*40</f>
        <v>83200</v>
      </c>
    </row>
    <row r="32" spans="1:6" x14ac:dyDescent="0.2">
      <c r="B32" s="147" t="s">
        <v>1035</v>
      </c>
      <c r="D32" s="261">
        <f>E24</f>
        <v>62200</v>
      </c>
    </row>
    <row r="33" spans="1:4" x14ac:dyDescent="0.2">
      <c r="B33" s="147" t="s">
        <v>1036</v>
      </c>
      <c r="D33" s="261">
        <f>D31-D32</f>
        <v>21000</v>
      </c>
    </row>
    <row r="34" spans="1:4" x14ac:dyDescent="0.2">
      <c r="B34" s="147" t="s">
        <v>1037</v>
      </c>
      <c r="D34" s="261">
        <f>E25</f>
        <v>21000</v>
      </c>
    </row>
    <row r="35" spans="1:4" x14ac:dyDescent="0.2">
      <c r="B35" s="147" t="s">
        <v>167</v>
      </c>
      <c r="D35" s="261">
        <v>0</v>
      </c>
    </row>
    <row r="38" spans="1:4" x14ac:dyDescent="0.2">
      <c r="A38" s="147" t="s">
        <v>1038</v>
      </c>
    </row>
    <row r="39" spans="1:4" s="261" customFormat="1" x14ac:dyDescent="0.2"/>
    <row r="40" spans="1:4" s="261" customFormat="1" x14ac:dyDescent="0.2">
      <c r="B40" s="261">
        <v>70000</v>
      </c>
      <c r="D40" s="418">
        <f>B40/B41</f>
        <v>10000</v>
      </c>
    </row>
    <row r="41" spans="1:4" s="261" customFormat="1" x14ac:dyDescent="0.2">
      <c r="B41" s="261">
        <v>7</v>
      </c>
    </row>
    <row r="42" spans="1:4" s="261" customFormat="1" x14ac:dyDescent="0.2">
      <c r="D42" s="261" t="s">
        <v>1039</v>
      </c>
    </row>
    <row r="43" spans="1:4" s="261" customFormat="1" x14ac:dyDescent="0.2">
      <c r="D43" s="261" t="s">
        <v>1040</v>
      </c>
    </row>
    <row r="44" spans="1:4" s="261" customFormat="1" x14ac:dyDescent="0.2">
      <c r="D44" s="261">
        <f>466</f>
        <v>466</v>
      </c>
    </row>
    <row r="45" spans="1:4" s="261" customFormat="1" x14ac:dyDescent="0.2"/>
    <row r="46" spans="1:4" s="261" customFormat="1" x14ac:dyDescent="0.2">
      <c r="A46" s="261" t="s">
        <v>1041</v>
      </c>
      <c r="C46" s="261" t="s">
        <v>1042</v>
      </c>
    </row>
    <row r="47" spans="1:4" s="261" customFormat="1" x14ac:dyDescent="0.2">
      <c r="C47" s="261" t="s">
        <v>1043</v>
      </c>
    </row>
    <row r="48" spans="1:4" s="261" customFormat="1" x14ac:dyDescent="0.2">
      <c r="C48" s="261" t="s">
        <v>1044</v>
      </c>
      <c r="D48" s="419">
        <v>400</v>
      </c>
    </row>
    <row r="49" spans="1:6" s="261" customFormat="1" x14ac:dyDescent="0.2">
      <c r="C49" s="261" t="s">
        <v>1045</v>
      </c>
    </row>
    <row r="50" spans="1:6" s="261" customFormat="1" ht="14.25" customHeight="1" x14ac:dyDescent="0.2"/>
    <row r="51" spans="1:6" s="261" customFormat="1" x14ac:dyDescent="0.2">
      <c r="A51" s="261" t="s">
        <v>938</v>
      </c>
      <c r="B51" s="261" t="s">
        <v>1046</v>
      </c>
    </row>
    <row r="52" spans="1:6" s="261" customFormat="1" x14ac:dyDescent="0.2">
      <c r="B52" s="261" t="s">
        <v>1047</v>
      </c>
    </row>
    <row r="53" spans="1:6" s="261" customFormat="1" x14ac:dyDescent="0.2">
      <c r="A53" s="261" t="s">
        <v>940</v>
      </c>
      <c r="B53" s="261" t="s">
        <v>941</v>
      </c>
      <c r="D53" s="261" t="s">
        <v>1048</v>
      </c>
      <c r="E53" s="261">
        <f>D48</f>
        <v>400</v>
      </c>
    </row>
    <row r="54" spans="1:6" s="261" customFormat="1" x14ac:dyDescent="0.2">
      <c r="D54" s="261" t="s">
        <v>896</v>
      </c>
      <c r="E54" s="418">
        <f>F19</f>
        <v>311</v>
      </c>
    </row>
    <row r="55" spans="1:6" s="261" customFormat="1" x14ac:dyDescent="0.2">
      <c r="D55" s="261" t="s">
        <v>803</v>
      </c>
      <c r="E55" s="420">
        <f>E53-E54</f>
        <v>89</v>
      </c>
    </row>
    <row r="56" spans="1:6" s="261" customFormat="1" x14ac:dyDescent="0.2"/>
    <row r="57" spans="1:6" s="261" customFormat="1" x14ac:dyDescent="0.2">
      <c r="D57" s="261" t="s">
        <v>1049</v>
      </c>
      <c r="E57" s="419">
        <f>E55*20</f>
        <v>1780</v>
      </c>
    </row>
    <row r="58" spans="1:6" s="261" customFormat="1" x14ac:dyDescent="0.2"/>
    <row r="59" spans="1:6" s="261" customFormat="1" x14ac:dyDescent="0.2">
      <c r="A59" s="261" t="s">
        <v>1050</v>
      </c>
    </row>
    <row r="60" spans="1:6" s="261" customFormat="1" x14ac:dyDescent="0.2">
      <c r="A60" s="261" t="s">
        <v>1051</v>
      </c>
      <c r="B60" s="261" t="s">
        <v>1052</v>
      </c>
      <c r="C60" s="261" t="s">
        <v>1053</v>
      </c>
    </row>
    <row r="61" spans="1:6" s="261" customFormat="1" x14ac:dyDescent="0.2">
      <c r="A61" s="261" t="s">
        <v>1054</v>
      </c>
    </row>
    <row r="62" spans="1:6" s="261" customFormat="1" x14ac:dyDescent="0.2"/>
    <row r="63" spans="1:6" s="261" customFormat="1" x14ac:dyDescent="0.2">
      <c r="A63" s="261" t="s">
        <v>1011</v>
      </c>
      <c r="D63" s="421">
        <v>70000</v>
      </c>
      <c r="E63" s="261" t="s">
        <v>1055</v>
      </c>
      <c r="F63" s="419">
        <f>70000*100/700000</f>
        <v>10</v>
      </c>
    </row>
    <row r="64" spans="1:6" s="261" customFormat="1" x14ac:dyDescent="0.2">
      <c r="D64" s="330">
        <v>700000</v>
      </c>
      <c r="F64" s="419"/>
    </row>
    <row r="65" spans="1:6" s="261" customFormat="1" x14ac:dyDescent="0.2">
      <c r="F65" s="419"/>
    </row>
    <row r="66" spans="1:6" s="261" customFormat="1" x14ac:dyDescent="0.2">
      <c r="A66" s="261" t="s">
        <v>1013</v>
      </c>
      <c r="D66" s="421">
        <v>100</v>
      </c>
      <c r="E66" s="261" t="s">
        <v>1014</v>
      </c>
      <c r="F66" s="419">
        <f>100*1/10</f>
        <v>10</v>
      </c>
    </row>
    <row r="67" spans="1:6" s="261" customFormat="1" x14ac:dyDescent="0.2">
      <c r="D67" s="330">
        <v>10</v>
      </c>
      <c r="F67" s="419"/>
    </row>
    <row r="68" spans="1:6" s="261" customFormat="1" x14ac:dyDescent="0.2">
      <c r="F68" s="419"/>
    </row>
    <row r="69" spans="1:6" s="261" customFormat="1" x14ac:dyDescent="0.2">
      <c r="A69" s="261" t="s">
        <v>1015</v>
      </c>
      <c r="D69" s="261" t="s">
        <v>1056</v>
      </c>
      <c r="F69" s="419">
        <f>0.1*100</f>
        <v>10</v>
      </c>
    </row>
    <row r="70" spans="1:6" s="261" customFormat="1" x14ac:dyDescent="0.2">
      <c r="F70" s="419"/>
    </row>
    <row r="71" spans="1:6" s="261" customFormat="1" x14ac:dyDescent="0.2">
      <c r="A71" s="261" t="s">
        <v>1017</v>
      </c>
      <c r="D71" s="261" t="s">
        <v>1018</v>
      </c>
      <c r="F71" s="419">
        <v>240</v>
      </c>
    </row>
    <row r="72" spans="1:6" s="261" customFormat="1" x14ac:dyDescent="0.2">
      <c r="F72" s="419"/>
    </row>
    <row r="73" spans="1:6" s="261" customFormat="1" x14ac:dyDescent="0.2">
      <c r="A73" s="261" t="s">
        <v>1021</v>
      </c>
      <c r="F73" s="419">
        <v>5</v>
      </c>
    </row>
    <row r="74" spans="1:6" s="261" customFormat="1" x14ac:dyDescent="0.2"/>
    <row r="75" spans="1:6" s="261" customFormat="1" x14ac:dyDescent="0.2">
      <c r="B75" s="261" t="s">
        <v>1009</v>
      </c>
      <c r="F75" s="418">
        <f>SUM(F63:F73)</f>
        <v>275</v>
      </c>
    </row>
    <row r="76" spans="1:6" s="261" customFormat="1" x14ac:dyDescent="0.2"/>
    <row r="77" spans="1:6" s="261" customFormat="1" x14ac:dyDescent="0.2">
      <c r="A77" s="261" t="s">
        <v>938</v>
      </c>
      <c r="B77" s="261" t="s">
        <v>1046</v>
      </c>
    </row>
    <row r="78" spans="1:6" s="261" customFormat="1" x14ac:dyDescent="0.2">
      <c r="B78" s="261" t="s">
        <v>1047</v>
      </c>
    </row>
    <row r="79" spans="1:6" s="261" customFormat="1" x14ac:dyDescent="0.2"/>
    <row r="80" spans="1:6" s="261" customFormat="1" x14ac:dyDescent="0.2">
      <c r="A80" s="261" t="s">
        <v>1057</v>
      </c>
      <c r="B80" s="261" t="s">
        <v>941</v>
      </c>
      <c r="D80" s="261" t="s">
        <v>1048</v>
      </c>
      <c r="E80" s="419">
        <v>260</v>
      </c>
    </row>
    <row r="81" spans="1:5" s="261" customFormat="1" x14ac:dyDescent="0.2">
      <c r="D81" s="261" t="s">
        <v>896</v>
      </c>
      <c r="E81" s="418">
        <f>F75</f>
        <v>275</v>
      </c>
    </row>
    <row r="82" spans="1:5" s="261" customFormat="1" x14ac:dyDescent="0.2">
      <c r="D82" s="261" t="s">
        <v>803</v>
      </c>
      <c r="E82" s="420">
        <f>E80-E81</f>
        <v>-15</v>
      </c>
    </row>
    <row r="83" spans="1:5" s="261" customFormat="1" x14ac:dyDescent="0.2"/>
    <row r="84" spans="1:5" s="261" customFormat="1" x14ac:dyDescent="0.2"/>
    <row r="85" spans="1:5" s="261" customFormat="1" x14ac:dyDescent="0.2">
      <c r="A85" s="261" t="s">
        <v>1058</v>
      </c>
    </row>
    <row r="86" spans="1:5" s="261" customFormat="1" x14ac:dyDescent="0.2">
      <c r="A86" s="261" t="s">
        <v>1059</v>
      </c>
      <c r="B86" s="261" t="s">
        <v>1060</v>
      </c>
    </row>
    <row r="87" spans="1:5" s="261" customFormat="1" x14ac:dyDescent="0.2">
      <c r="A87" s="147" t="s">
        <v>1022</v>
      </c>
      <c r="B87" s="147"/>
      <c r="D87" s="261" t="s">
        <v>1048</v>
      </c>
      <c r="E87" s="261">
        <v>370</v>
      </c>
    </row>
    <row r="88" spans="1:5" s="261" customFormat="1" x14ac:dyDescent="0.2">
      <c r="A88" s="147" t="s">
        <v>1024</v>
      </c>
      <c r="B88" s="147"/>
    </row>
    <row r="89" spans="1:5" s="261" customFormat="1" x14ac:dyDescent="0.2">
      <c r="A89" s="261" t="s">
        <v>1061</v>
      </c>
      <c r="B89" s="419">
        <v>90000</v>
      </c>
    </row>
    <row r="90" spans="1:5" s="261" customFormat="1" x14ac:dyDescent="0.2">
      <c r="A90" s="261" t="s">
        <v>300</v>
      </c>
      <c r="B90" s="261">
        <v>900000</v>
      </c>
      <c r="C90" s="261" t="s">
        <v>1062</v>
      </c>
    </row>
    <row r="91" spans="1:5" s="261" customFormat="1" x14ac:dyDescent="0.2">
      <c r="A91" s="261" t="s">
        <v>1013</v>
      </c>
      <c r="B91" s="261" t="s">
        <v>1063</v>
      </c>
    </row>
    <row r="92" spans="1:5" s="261" customFormat="1" x14ac:dyDescent="0.2">
      <c r="A92" s="261" t="s">
        <v>1015</v>
      </c>
      <c r="B92" s="261" t="s">
        <v>1064</v>
      </c>
    </row>
    <row r="93" spans="1:5" s="261" customFormat="1" x14ac:dyDescent="0.2">
      <c r="A93" s="160" t="s">
        <v>1065</v>
      </c>
      <c r="B93" s="420">
        <v>4000</v>
      </c>
    </row>
    <row r="94" spans="1:5" s="261" customFormat="1" x14ac:dyDescent="0.2">
      <c r="A94" s="160" t="s">
        <v>1066</v>
      </c>
      <c r="B94" s="420">
        <v>6000</v>
      </c>
    </row>
    <row r="95" spans="1:5" s="261" customFormat="1" x14ac:dyDescent="0.2">
      <c r="A95" s="160" t="s">
        <v>1067</v>
      </c>
      <c r="B95" s="420">
        <v>3000</v>
      </c>
    </row>
    <row r="96" spans="1:5" s="261" customFormat="1" x14ac:dyDescent="0.2"/>
    <row r="97" spans="1:6" s="261" customFormat="1" x14ac:dyDescent="0.2">
      <c r="A97" s="261" t="s">
        <v>1011</v>
      </c>
      <c r="D97" s="422">
        <v>90000</v>
      </c>
      <c r="E97" s="261" t="s">
        <v>1068</v>
      </c>
      <c r="F97" s="419">
        <f>90000*180/900000</f>
        <v>18</v>
      </c>
    </row>
    <row r="98" spans="1:6" s="261" customFormat="1" x14ac:dyDescent="0.2">
      <c r="D98" s="261">
        <v>900000</v>
      </c>
      <c r="F98" s="419"/>
    </row>
    <row r="99" spans="1:6" s="261" customFormat="1" x14ac:dyDescent="0.2">
      <c r="F99" s="419"/>
    </row>
    <row r="100" spans="1:6" s="261" customFormat="1" x14ac:dyDescent="0.2">
      <c r="A100" s="261" t="s">
        <v>1013</v>
      </c>
      <c r="D100" s="422">
        <v>180</v>
      </c>
      <c r="E100" s="261" t="s">
        <v>1014</v>
      </c>
      <c r="F100" s="419">
        <f>180*1/18</f>
        <v>10</v>
      </c>
    </row>
    <row r="101" spans="1:6" s="261" customFormat="1" x14ac:dyDescent="0.2">
      <c r="D101" s="261">
        <v>18</v>
      </c>
      <c r="F101" s="419"/>
    </row>
    <row r="102" spans="1:6" s="261" customFormat="1" x14ac:dyDescent="0.2">
      <c r="F102" s="419"/>
    </row>
    <row r="103" spans="1:6" s="261" customFormat="1" x14ac:dyDescent="0.2">
      <c r="A103" s="261" t="s">
        <v>1015</v>
      </c>
      <c r="D103" s="261" t="s">
        <v>1069</v>
      </c>
      <c r="F103" s="419">
        <f>0.25*180</f>
        <v>45</v>
      </c>
    </row>
    <row r="104" spans="1:6" s="261" customFormat="1" x14ac:dyDescent="0.2">
      <c r="F104" s="419"/>
    </row>
    <row r="105" spans="1:6" s="261" customFormat="1" x14ac:dyDescent="0.2">
      <c r="A105" s="261" t="s">
        <v>1017</v>
      </c>
      <c r="D105" s="261" t="s">
        <v>1018</v>
      </c>
      <c r="F105" s="419">
        <f>120*2</f>
        <v>240</v>
      </c>
    </row>
    <row r="106" spans="1:6" s="261" customFormat="1" x14ac:dyDescent="0.2">
      <c r="F106" s="419"/>
    </row>
    <row r="107" spans="1:6" s="261" customFormat="1" x14ac:dyDescent="0.2">
      <c r="A107" s="261" t="s">
        <v>1019</v>
      </c>
      <c r="D107" s="261">
        <v>90</v>
      </c>
      <c r="E107" s="261" t="s">
        <v>1020</v>
      </c>
      <c r="F107" s="419">
        <f>90*2/30</f>
        <v>6</v>
      </c>
    </row>
    <row r="108" spans="1:6" s="261" customFormat="1" x14ac:dyDescent="0.2">
      <c r="D108" s="261">
        <v>30</v>
      </c>
      <c r="F108" s="419"/>
    </row>
    <row r="109" spans="1:6" s="261" customFormat="1" x14ac:dyDescent="0.2">
      <c r="A109" s="261" t="s">
        <v>1021</v>
      </c>
      <c r="F109" s="419">
        <v>5</v>
      </c>
    </row>
    <row r="110" spans="1:6" s="261" customFormat="1" x14ac:dyDescent="0.2"/>
    <row r="111" spans="1:6" s="261" customFormat="1" x14ac:dyDescent="0.2">
      <c r="B111" s="261" t="s">
        <v>1009</v>
      </c>
      <c r="F111" s="418">
        <f>SUM(F97:F109)</f>
        <v>324</v>
      </c>
    </row>
    <row r="112" spans="1:6" s="261" customFormat="1" x14ac:dyDescent="0.2"/>
    <row r="113" spans="1:4" s="261" customFormat="1" x14ac:dyDescent="0.2">
      <c r="A113" s="261" t="s">
        <v>941</v>
      </c>
      <c r="B113" s="261" t="s">
        <v>1048</v>
      </c>
      <c r="C113" s="418">
        <v>370</v>
      </c>
    </row>
    <row r="114" spans="1:4" s="261" customFormat="1" x14ac:dyDescent="0.2">
      <c r="B114" s="261" t="s">
        <v>896</v>
      </c>
      <c r="C114" s="418">
        <v>324</v>
      </c>
    </row>
    <row r="115" spans="1:4" s="261" customFormat="1" x14ac:dyDescent="0.2">
      <c r="B115" s="261" t="s">
        <v>803</v>
      </c>
      <c r="C115" s="418">
        <f>C113-C114</f>
        <v>46</v>
      </c>
    </row>
    <row r="116" spans="1:4" s="261" customFormat="1" x14ac:dyDescent="0.2">
      <c r="C116" s="418"/>
    </row>
    <row r="117" spans="1:4" s="261" customFormat="1" x14ac:dyDescent="0.2">
      <c r="B117" s="160" t="s">
        <v>1049</v>
      </c>
      <c r="C117" s="418">
        <f>C115*5*40</f>
        <v>9200</v>
      </c>
    </row>
    <row r="118" spans="1:4" s="261" customFormat="1" x14ac:dyDescent="0.2">
      <c r="B118" s="261" t="s">
        <v>1070</v>
      </c>
      <c r="C118" s="261">
        <f>(4000+6000)</f>
        <v>10000</v>
      </c>
      <c r="D118" s="261" t="s">
        <v>1071</v>
      </c>
    </row>
    <row r="119" spans="1:4" s="261" customFormat="1" x14ac:dyDescent="0.2">
      <c r="B119" s="160" t="s">
        <v>1072</v>
      </c>
      <c r="C119" s="418">
        <f>C117-C118</f>
        <v>-800</v>
      </c>
    </row>
    <row r="120" spans="1:4" s="261" customFormat="1" x14ac:dyDescent="0.2"/>
    <row r="121" spans="1:4" s="261" customFormat="1" x14ac:dyDescent="0.2"/>
    <row r="122" spans="1:4" s="261" customFormat="1" x14ac:dyDescent="0.2"/>
    <row r="123" spans="1:4" s="261" customFormat="1" x14ac:dyDescent="0.2"/>
    <row r="124" spans="1:4" s="261" customFormat="1" x14ac:dyDescent="0.2"/>
    <row r="125" spans="1:4" s="261" customFormat="1" x14ac:dyDescent="0.2"/>
    <row r="126" spans="1:4" s="261" customFormat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5"/>
  <sheetViews>
    <sheetView zoomScale="110" zoomScaleNormal="110" workbookViewId="0">
      <selection activeCell="D1" sqref="D1"/>
    </sheetView>
  </sheetViews>
  <sheetFormatPr baseColWidth="10" defaultColWidth="11.5" defaultRowHeight="14" x14ac:dyDescent="0.15"/>
  <cols>
    <col min="1" max="1" width="11.5" style="22"/>
    <col min="2" max="2" width="13.83203125" style="22" bestFit="1" customWidth="1"/>
    <col min="3" max="3" width="34.5" style="22" bestFit="1" customWidth="1"/>
    <col min="4" max="4" width="18.33203125" style="22" customWidth="1"/>
    <col min="5" max="5" width="17.6640625" style="23" bestFit="1" customWidth="1"/>
    <col min="6" max="6" width="20.5" style="24" bestFit="1" customWidth="1"/>
    <col min="7" max="7" width="19" style="7" bestFit="1" customWidth="1"/>
    <col min="8" max="8" width="14.5" style="7" bestFit="1" customWidth="1"/>
    <col min="9" max="16384" width="11.5" style="22"/>
  </cols>
  <sheetData>
    <row r="1" spans="3:8" s="7" customFormat="1" x14ac:dyDescent="0.15">
      <c r="C1" s="8" t="s">
        <v>0</v>
      </c>
      <c r="E1" s="9"/>
      <c r="F1" s="10"/>
    </row>
    <row r="2" spans="3:8" s="7" customFormat="1" x14ac:dyDescent="0.15">
      <c r="C2" s="8"/>
      <c r="E2" s="9"/>
      <c r="F2" s="10"/>
    </row>
    <row r="3" spans="3:8" s="7" customFormat="1" x14ac:dyDescent="0.15">
      <c r="C3" s="8" t="s">
        <v>1</v>
      </c>
      <c r="E3" s="9"/>
      <c r="F3" s="10"/>
    </row>
    <row r="4" spans="3:8" s="7" customFormat="1" x14ac:dyDescent="0.15">
      <c r="E4" s="9" t="s">
        <v>82</v>
      </c>
      <c r="F4" s="10"/>
    </row>
    <row r="5" spans="3:8" s="25" customFormat="1" x14ac:dyDescent="0.15">
      <c r="C5" s="12"/>
      <c r="D5" s="12" t="s">
        <v>2</v>
      </c>
      <c r="E5" s="13" t="s">
        <v>3</v>
      </c>
      <c r="F5" s="13" t="s">
        <v>4</v>
      </c>
      <c r="G5" s="11"/>
      <c r="H5" s="11"/>
    </row>
    <row r="6" spans="3:8" x14ac:dyDescent="0.15">
      <c r="C6" s="14" t="s">
        <v>5</v>
      </c>
      <c r="D6" s="29">
        <v>20000</v>
      </c>
      <c r="E6" s="30">
        <v>1750</v>
      </c>
      <c r="F6" s="30">
        <f>D6*E6</f>
        <v>35000000</v>
      </c>
      <c r="H6" s="7">
        <v>2000</v>
      </c>
    </row>
    <row r="7" spans="3:8" x14ac:dyDescent="0.15">
      <c r="C7" s="14" t="s">
        <v>6</v>
      </c>
      <c r="D7" s="14">
        <v>60000</v>
      </c>
      <c r="E7" s="15">
        <v>2000</v>
      </c>
      <c r="F7" s="15">
        <f>D7*E7</f>
        <v>120000000</v>
      </c>
      <c r="H7" s="7">
        <v>250</v>
      </c>
    </row>
    <row r="8" spans="3:8" x14ac:dyDescent="0.15">
      <c r="C8" s="14" t="s">
        <v>7</v>
      </c>
      <c r="D8" s="14">
        <v>60000</v>
      </c>
      <c r="E8" s="15">
        <f>F8/D8</f>
        <v>250</v>
      </c>
      <c r="F8" s="15">
        <v>15000000</v>
      </c>
      <c r="H8" s="7">
        <v>-100</v>
      </c>
    </row>
    <row r="9" spans="3:8" x14ac:dyDescent="0.15">
      <c r="C9" s="14" t="s">
        <v>80</v>
      </c>
      <c r="D9" s="14">
        <v>60000</v>
      </c>
      <c r="E9" s="15">
        <f>F9/D9</f>
        <v>100</v>
      </c>
      <c r="F9" s="15">
        <v>6000000</v>
      </c>
      <c r="H9" s="7">
        <v>-50</v>
      </c>
    </row>
    <row r="10" spans="3:8" x14ac:dyDescent="0.15">
      <c r="C10" s="14" t="s">
        <v>81</v>
      </c>
      <c r="D10" s="14">
        <v>60000</v>
      </c>
      <c r="E10" s="15">
        <f>F10/D10</f>
        <v>50</v>
      </c>
      <c r="F10" s="15">
        <v>3000000</v>
      </c>
      <c r="H10" s="7">
        <f>SUM(H6:H9)</f>
        <v>2100</v>
      </c>
    </row>
    <row r="11" spans="3:8" x14ac:dyDescent="0.15">
      <c r="C11" s="14" t="s">
        <v>77</v>
      </c>
      <c r="D11" s="21"/>
      <c r="E11" s="26"/>
      <c r="F11" s="15">
        <v>18000000</v>
      </c>
    </row>
    <row r="12" spans="3:8" x14ac:dyDescent="0.15">
      <c r="C12" s="14" t="s">
        <v>78</v>
      </c>
      <c r="D12" s="14">
        <v>50000</v>
      </c>
      <c r="E12" s="15">
        <v>2500</v>
      </c>
      <c r="F12" s="33">
        <f>D12*E12</f>
        <v>125000000</v>
      </c>
    </row>
    <row r="13" spans="3:8" x14ac:dyDescent="0.15">
      <c r="F13" s="23"/>
    </row>
    <row r="14" spans="3:8" x14ac:dyDescent="0.15">
      <c r="C14" s="8" t="s">
        <v>10</v>
      </c>
      <c r="D14" s="12" t="s">
        <v>2</v>
      </c>
      <c r="E14" s="13" t="s">
        <v>3</v>
      </c>
      <c r="F14" s="13" t="s">
        <v>4</v>
      </c>
    </row>
    <row r="15" spans="3:8" x14ac:dyDescent="0.15">
      <c r="C15" s="14" t="s">
        <v>6</v>
      </c>
      <c r="D15" s="14">
        <v>60000</v>
      </c>
      <c r="E15" s="15">
        <v>2000</v>
      </c>
      <c r="F15" s="15">
        <f>D15*E15</f>
        <v>120000000</v>
      </c>
    </row>
    <row r="16" spans="3:8" x14ac:dyDescent="0.15">
      <c r="C16" s="14" t="s">
        <v>8</v>
      </c>
      <c r="D16" s="21">
        <v>60000</v>
      </c>
      <c r="E16" s="26">
        <f>F16/D16</f>
        <v>-100</v>
      </c>
      <c r="F16" s="15">
        <v>-6000000</v>
      </c>
    </row>
    <row r="17" spans="1:10" x14ac:dyDescent="0.15">
      <c r="C17" s="14" t="s">
        <v>9</v>
      </c>
      <c r="D17" s="21">
        <v>60000</v>
      </c>
      <c r="E17" s="26">
        <f>F17/D17</f>
        <v>-50</v>
      </c>
      <c r="F17" s="15">
        <v>-3000000</v>
      </c>
    </row>
    <row r="18" spans="1:10" x14ac:dyDescent="0.15">
      <c r="C18" s="14" t="s">
        <v>7</v>
      </c>
      <c r="D18" s="21">
        <v>60000</v>
      </c>
      <c r="E18" s="26">
        <f>F18/D18</f>
        <v>250</v>
      </c>
      <c r="F18" s="15">
        <v>15000000</v>
      </c>
    </row>
    <row r="19" spans="1:10" x14ac:dyDescent="0.15">
      <c r="C19" s="16" t="s">
        <v>11</v>
      </c>
      <c r="D19" s="16">
        <v>60000</v>
      </c>
      <c r="E19" s="17">
        <f>F19/60000</f>
        <v>2100</v>
      </c>
      <c r="F19" s="17">
        <f>SUM(F15:F18)</f>
        <v>126000000</v>
      </c>
    </row>
    <row r="20" spans="1:10" x14ac:dyDescent="0.15">
      <c r="F20" s="23"/>
    </row>
    <row r="21" spans="1:10" x14ac:dyDescent="0.15">
      <c r="F21" s="23"/>
    </row>
    <row r="22" spans="1:10" x14ac:dyDescent="0.15">
      <c r="B22" s="31" t="s">
        <v>61</v>
      </c>
      <c r="C22" s="8" t="s">
        <v>58</v>
      </c>
      <c r="D22" s="27" t="s">
        <v>2</v>
      </c>
      <c r="E22" s="28" t="s">
        <v>3</v>
      </c>
      <c r="F22" s="28" t="s">
        <v>4</v>
      </c>
    </row>
    <row r="23" spans="1:10" x14ac:dyDescent="0.15">
      <c r="C23" s="14" t="s">
        <v>5</v>
      </c>
      <c r="D23" s="14">
        <v>20000</v>
      </c>
      <c r="E23" s="15">
        <v>1750</v>
      </c>
      <c r="F23" s="15">
        <f>D23*E23</f>
        <v>35000000</v>
      </c>
      <c r="G23" s="449">
        <f>F23+F24</f>
        <v>161000000</v>
      </c>
      <c r="I23" s="7"/>
      <c r="J23" s="7"/>
    </row>
    <row r="24" spans="1:10" x14ac:dyDescent="0.15">
      <c r="C24" s="14" t="s">
        <v>11</v>
      </c>
      <c r="D24" s="14">
        <v>60000</v>
      </c>
      <c r="E24" s="15">
        <f>E19</f>
        <v>2100</v>
      </c>
      <c r="F24" s="15">
        <f>F19</f>
        <v>126000000</v>
      </c>
      <c r="G24" s="449"/>
      <c r="I24" s="22" t="s">
        <v>14</v>
      </c>
    </row>
    <row r="25" spans="1:10" x14ac:dyDescent="0.15">
      <c r="A25" s="22" t="s">
        <v>60</v>
      </c>
      <c r="B25" s="22" t="s">
        <v>12</v>
      </c>
      <c r="C25" s="16" t="s">
        <v>59</v>
      </c>
      <c r="D25" s="16">
        <f>D12</f>
        <v>50000</v>
      </c>
      <c r="E25" s="18">
        <f>E31</f>
        <v>2012.5</v>
      </c>
      <c r="F25" s="17">
        <f>D25*E25</f>
        <v>100625000</v>
      </c>
      <c r="G25" s="449">
        <f>F25+F26</f>
        <v>161000000</v>
      </c>
      <c r="H25" s="7" t="s">
        <v>83</v>
      </c>
    </row>
    <row r="26" spans="1:10" x14ac:dyDescent="0.15">
      <c r="C26" s="16" t="s">
        <v>62</v>
      </c>
      <c r="D26" s="16">
        <f>D23+D24-D25</f>
        <v>30000</v>
      </c>
      <c r="E26" s="18">
        <f>E25</f>
        <v>2012.5</v>
      </c>
      <c r="F26" s="17">
        <f>D26*E26</f>
        <v>60375000</v>
      </c>
      <c r="G26" s="449"/>
    </row>
    <row r="27" spans="1:10" s="7" customFormat="1" x14ac:dyDescent="0.15">
      <c r="E27" s="9"/>
      <c r="F27" s="9"/>
    </row>
    <row r="28" spans="1:10" s="7" customFormat="1" x14ac:dyDescent="0.15">
      <c r="E28" s="9"/>
      <c r="F28" s="9"/>
    </row>
    <row r="29" spans="1:10" s="7" customFormat="1" x14ac:dyDescent="0.15">
      <c r="C29" s="7" t="s">
        <v>15</v>
      </c>
      <c r="E29" s="10"/>
      <c r="F29" s="9"/>
    </row>
    <row r="30" spans="1:10" s="7" customFormat="1" x14ac:dyDescent="0.15">
      <c r="E30" s="9"/>
      <c r="F30" s="9"/>
    </row>
    <row r="31" spans="1:10" s="7" customFormat="1" ht="15" thickBot="1" x14ac:dyDescent="0.2">
      <c r="C31" s="19" t="s">
        <v>63</v>
      </c>
      <c r="D31" s="7" t="s">
        <v>65</v>
      </c>
      <c r="E31" s="32">
        <f>(F23+F24)/(D23+D24)</f>
        <v>2012.5</v>
      </c>
      <c r="F31" s="9"/>
    </row>
    <row r="32" spans="1:10" s="7" customFormat="1" ht="15" thickTop="1" x14ac:dyDescent="0.15">
      <c r="C32" s="11" t="s">
        <v>64</v>
      </c>
      <c r="D32" s="7" t="s">
        <v>64</v>
      </c>
      <c r="E32" s="9"/>
      <c r="F32" s="9"/>
    </row>
    <row r="33" spans="3:6" s="7" customFormat="1" x14ac:dyDescent="0.15">
      <c r="E33" s="9"/>
      <c r="F33" s="9"/>
    </row>
    <row r="34" spans="3:6" s="7" customFormat="1" x14ac:dyDescent="0.15">
      <c r="C34" s="14" t="s">
        <v>66</v>
      </c>
      <c r="D34" s="14"/>
      <c r="E34" s="15"/>
      <c r="F34" s="9"/>
    </row>
    <row r="35" spans="3:6" s="7" customFormat="1" x14ac:dyDescent="0.15">
      <c r="C35" s="14" t="s">
        <v>16</v>
      </c>
      <c r="D35" s="14">
        <f>50000*2500</f>
        <v>125000000</v>
      </c>
      <c r="E35" s="15">
        <v>2500</v>
      </c>
      <c r="F35" s="9"/>
    </row>
    <row r="36" spans="3:6" s="7" customFormat="1" x14ac:dyDescent="0.15">
      <c r="C36" s="14" t="s">
        <v>67</v>
      </c>
      <c r="D36" s="14">
        <f>-F25</f>
        <v>-100625000</v>
      </c>
      <c r="E36" s="34">
        <f>E25</f>
        <v>2012.5</v>
      </c>
      <c r="F36" s="9"/>
    </row>
    <row r="37" spans="3:6" s="7" customFormat="1" x14ac:dyDescent="0.15">
      <c r="C37" s="20" t="s">
        <v>17</v>
      </c>
      <c r="D37" s="14">
        <f>D35+D36</f>
        <v>24375000</v>
      </c>
      <c r="E37" s="34">
        <f>E35-E36</f>
        <v>487.5</v>
      </c>
      <c r="F37" s="9"/>
    </row>
    <row r="38" spans="3:6" s="7" customFormat="1" x14ac:dyDescent="0.15">
      <c r="E38" s="9"/>
      <c r="F38" s="9"/>
    </row>
    <row r="39" spans="3:6" x14ac:dyDescent="0.15">
      <c r="F39" s="23"/>
    </row>
    <row r="41" spans="3:6" x14ac:dyDescent="0.15">
      <c r="C41" s="7"/>
      <c r="D41" s="7"/>
      <c r="E41" s="9" t="s">
        <v>82</v>
      </c>
      <c r="F41" s="10"/>
    </row>
    <row r="42" spans="3:6" x14ac:dyDescent="0.15">
      <c r="C42" s="12"/>
      <c r="D42" s="12" t="s">
        <v>2</v>
      </c>
      <c r="E42" s="13" t="s">
        <v>3</v>
      </c>
      <c r="F42" s="13" t="s">
        <v>4</v>
      </c>
    </row>
    <row r="43" spans="3:6" x14ac:dyDescent="0.15">
      <c r="C43" s="14" t="s">
        <v>5</v>
      </c>
      <c r="D43" s="29">
        <v>20000</v>
      </c>
      <c r="E43" s="30">
        <v>1750</v>
      </c>
      <c r="F43" s="30">
        <f>D43*E43</f>
        <v>35000000</v>
      </c>
    </row>
    <row r="44" spans="3:6" x14ac:dyDescent="0.15">
      <c r="C44" s="14" t="s">
        <v>6</v>
      </c>
      <c r="D44" s="14">
        <v>60000</v>
      </c>
      <c r="E44" s="15">
        <v>2000</v>
      </c>
      <c r="F44" s="15">
        <f>D44*E44</f>
        <v>120000000</v>
      </c>
    </row>
    <row r="45" spans="3:6" x14ac:dyDescent="0.15">
      <c r="C45" s="14" t="s">
        <v>7</v>
      </c>
      <c r="D45" s="14">
        <v>60000</v>
      </c>
      <c r="E45" s="15">
        <f>F45/D45</f>
        <v>250</v>
      </c>
      <c r="F45" s="15">
        <v>15000000</v>
      </c>
    </row>
    <row r="46" spans="3:6" x14ac:dyDescent="0.15">
      <c r="C46" s="14" t="s">
        <v>80</v>
      </c>
      <c r="D46" s="14">
        <v>60000</v>
      </c>
      <c r="E46" s="15">
        <f>F46/D46</f>
        <v>100</v>
      </c>
      <c r="F46" s="15">
        <v>6000000</v>
      </c>
    </row>
    <row r="47" spans="3:6" x14ac:dyDescent="0.15">
      <c r="C47" s="14" t="s">
        <v>84</v>
      </c>
      <c r="D47" s="14">
        <v>60000</v>
      </c>
      <c r="E47" s="15">
        <f>F47/D47</f>
        <v>50</v>
      </c>
      <c r="F47" s="15">
        <v>3000000</v>
      </c>
    </row>
    <row r="48" spans="3:6" x14ac:dyDescent="0.15">
      <c r="C48" s="14" t="s">
        <v>77</v>
      </c>
      <c r="D48" s="21"/>
      <c r="E48" s="26"/>
      <c r="F48" s="15">
        <v>18000000</v>
      </c>
    </row>
    <row r="49" spans="3:6" x14ac:dyDescent="0.15">
      <c r="C49" s="14" t="s">
        <v>78</v>
      </c>
      <c r="D49" s="14">
        <v>50000</v>
      </c>
      <c r="E49" s="15">
        <v>2500</v>
      </c>
      <c r="F49" s="33">
        <f>D49*E49</f>
        <v>125000000</v>
      </c>
    </row>
    <row r="50" spans="3:6" x14ac:dyDescent="0.15">
      <c r="F50" s="23"/>
    </row>
    <row r="51" spans="3:6" x14ac:dyDescent="0.15">
      <c r="C51" s="8" t="s">
        <v>10</v>
      </c>
      <c r="D51" s="12" t="s">
        <v>2</v>
      </c>
      <c r="E51" s="13" t="s">
        <v>3</v>
      </c>
      <c r="F51" s="13" t="s">
        <v>4</v>
      </c>
    </row>
    <row r="52" spans="3:6" x14ac:dyDescent="0.15">
      <c r="C52" s="14" t="s">
        <v>6</v>
      </c>
      <c r="D52" s="14">
        <v>60000</v>
      </c>
      <c r="E52" s="15">
        <v>2000</v>
      </c>
      <c r="F52" s="15">
        <f>D52*E52</f>
        <v>120000000</v>
      </c>
    </row>
    <row r="53" spans="3:6" x14ac:dyDescent="0.15">
      <c r="C53" s="14" t="s">
        <v>8</v>
      </c>
      <c r="D53" s="21">
        <v>60000</v>
      </c>
      <c r="E53" s="26">
        <f>F53/D53</f>
        <v>-100</v>
      </c>
      <c r="F53" s="15">
        <v>-6000000</v>
      </c>
    </row>
    <row r="54" spans="3:6" x14ac:dyDescent="0.15">
      <c r="C54" s="14" t="s">
        <v>7</v>
      </c>
      <c r="D54" s="21">
        <v>60000</v>
      </c>
      <c r="E54" s="26">
        <f>F54/D54</f>
        <v>250</v>
      </c>
      <c r="F54" s="15">
        <v>15000000</v>
      </c>
    </row>
    <row r="55" spans="3:6" x14ac:dyDescent="0.15">
      <c r="C55" s="16" t="s">
        <v>11</v>
      </c>
      <c r="D55" s="16">
        <v>60000</v>
      </c>
      <c r="E55" s="17">
        <f>F55/60000</f>
        <v>2150</v>
      </c>
      <c r="F55" s="17">
        <f>SUM(F52:F54)</f>
        <v>129000000</v>
      </c>
    </row>
    <row r="56" spans="3:6" x14ac:dyDescent="0.15">
      <c r="F56" s="23"/>
    </row>
    <row r="57" spans="3:6" x14ac:dyDescent="0.15">
      <c r="F57" s="23"/>
    </row>
    <row r="58" spans="3:6" x14ac:dyDescent="0.15">
      <c r="C58" s="8" t="s">
        <v>58</v>
      </c>
      <c r="D58" s="27" t="s">
        <v>2</v>
      </c>
      <c r="E58" s="28" t="s">
        <v>3</v>
      </c>
      <c r="F58" s="28" t="s">
        <v>4</v>
      </c>
    </row>
    <row r="59" spans="3:6" x14ac:dyDescent="0.15">
      <c r="C59" s="14" t="s">
        <v>5</v>
      </c>
      <c r="D59" s="14">
        <v>20000</v>
      </c>
      <c r="E59" s="15">
        <v>1750</v>
      </c>
      <c r="F59" s="15">
        <f>D59*E59</f>
        <v>35000000</v>
      </c>
    </row>
    <row r="60" spans="3:6" x14ac:dyDescent="0.15">
      <c r="C60" s="14" t="s">
        <v>11</v>
      </c>
      <c r="D60" s="14">
        <v>60000</v>
      </c>
      <c r="E60" s="15">
        <f>E55</f>
        <v>2150</v>
      </c>
      <c r="F60" s="15">
        <f>F55</f>
        <v>129000000</v>
      </c>
    </row>
    <row r="61" spans="3:6" x14ac:dyDescent="0.15">
      <c r="C61" s="16" t="s">
        <v>59</v>
      </c>
      <c r="D61" s="16">
        <f>D49</f>
        <v>50000</v>
      </c>
      <c r="E61" s="18">
        <f>E67</f>
        <v>2050</v>
      </c>
      <c r="F61" s="17">
        <f>D61*E61</f>
        <v>102500000</v>
      </c>
    </row>
    <row r="62" spans="3:6" x14ac:dyDescent="0.15">
      <c r="C62" s="16" t="s">
        <v>62</v>
      </c>
      <c r="D62" s="16">
        <f>D59+D60-D61</f>
        <v>30000</v>
      </c>
      <c r="E62" s="18">
        <f>E61</f>
        <v>2050</v>
      </c>
      <c r="F62" s="17">
        <f>D62*E62</f>
        <v>61500000</v>
      </c>
    </row>
    <row r="63" spans="3:6" x14ac:dyDescent="0.15">
      <c r="C63" s="7"/>
      <c r="D63" s="7"/>
      <c r="E63" s="9"/>
      <c r="F63" s="9"/>
    </row>
    <row r="64" spans="3:6" x14ac:dyDescent="0.15">
      <c r="C64" s="7"/>
      <c r="D64" s="7"/>
      <c r="E64" s="9"/>
      <c r="F64" s="9"/>
    </row>
    <row r="65" spans="3:6" x14ac:dyDescent="0.15">
      <c r="C65" s="7" t="s">
        <v>15</v>
      </c>
      <c r="D65" s="7"/>
      <c r="E65" s="10"/>
      <c r="F65" s="9"/>
    </row>
    <row r="66" spans="3:6" x14ac:dyDescent="0.15">
      <c r="C66" s="7"/>
      <c r="D66" s="7"/>
      <c r="E66" s="9"/>
      <c r="F66" s="9"/>
    </row>
    <row r="67" spans="3:6" ht="15" thickBot="1" x14ac:dyDescent="0.2">
      <c r="C67" s="19" t="s">
        <v>85</v>
      </c>
      <c r="D67" s="7"/>
      <c r="E67" s="32">
        <f>(F59+F60)/(D59+D60)</f>
        <v>2050</v>
      </c>
      <c r="F67" s="9"/>
    </row>
    <row r="68" spans="3:6" ht="15" thickTop="1" x14ac:dyDescent="0.15">
      <c r="C68" s="11" t="s">
        <v>64</v>
      </c>
      <c r="D68" s="7"/>
      <c r="E68" s="9"/>
      <c r="F68" s="9"/>
    </row>
    <row r="69" spans="3:6" x14ac:dyDescent="0.15">
      <c r="C69" s="7"/>
      <c r="D69" s="7"/>
      <c r="E69" s="9"/>
      <c r="F69" s="9"/>
    </row>
    <row r="70" spans="3:6" x14ac:dyDescent="0.15">
      <c r="C70" s="14" t="s">
        <v>66</v>
      </c>
      <c r="D70" s="14"/>
      <c r="E70" s="15"/>
      <c r="F70" s="9"/>
    </row>
    <row r="71" spans="3:6" x14ac:dyDescent="0.15">
      <c r="C71" s="14" t="s">
        <v>86</v>
      </c>
      <c r="D71" s="14">
        <f>50000*2500</f>
        <v>125000000</v>
      </c>
      <c r="E71" s="15"/>
      <c r="F71" s="9"/>
    </row>
    <row r="72" spans="3:6" x14ac:dyDescent="0.15">
      <c r="C72" s="14" t="s">
        <v>84</v>
      </c>
      <c r="D72" s="14">
        <v>3000000</v>
      </c>
      <c r="E72" s="15"/>
      <c r="F72" s="9"/>
    </row>
    <row r="73" spans="3:6" x14ac:dyDescent="0.15">
      <c r="C73" s="14" t="s">
        <v>87</v>
      </c>
      <c r="D73" s="14">
        <f>D71-D72</f>
        <v>122000000</v>
      </c>
      <c r="E73" s="15"/>
      <c r="F73" s="9"/>
    </row>
    <row r="74" spans="3:6" x14ac:dyDescent="0.15">
      <c r="C74" s="14" t="s">
        <v>67</v>
      </c>
      <c r="D74" s="14">
        <f>-F61</f>
        <v>-102500000</v>
      </c>
      <c r="E74" s="34"/>
      <c r="F74" s="9"/>
    </row>
    <row r="75" spans="3:6" x14ac:dyDescent="0.15">
      <c r="C75" s="20" t="s">
        <v>17</v>
      </c>
      <c r="D75" s="14">
        <f>D71+D74</f>
        <v>22500000</v>
      </c>
      <c r="E75" s="34"/>
      <c r="F75" s="9"/>
    </row>
  </sheetData>
  <mergeCells count="2">
    <mergeCell ref="G23:G24"/>
    <mergeCell ref="G25:G26"/>
  </mergeCells>
  <pageMargins left="0.7" right="0.7" top="0.75" bottom="0.75" header="0.3" footer="0.3"/>
  <pageSetup paperSize="9" orientation="portrait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96"/>
  <sheetViews>
    <sheetView topLeftCell="A67" workbookViewId="0">
      <selection activeCell="N73" sqref="N73"/>
    </sheetView>
  </sheetViews>
  <sheetFormatPr baseColWidth="10" defaultRowHeight="13" x14ac:dyDescent="0.15"/>
  <sheetData>
    <row r="1" spans="1:12" ht="15" x14ac:dyDescent="0.2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31"/>
      <c r="L1" s="147"/>
    </row>
    <row r="2" spans="1:12" ht="15" x14ac:dyDescent="0.2">
      <c r="A2" s="147" t="s">
        <v>1099</v>
      </c>
      <c r="B2" s="426">
        <v>25</v>
      </c>
      <c r="C2" s="147"/>
      <c r="D2" s="147"/>
      <c r="E2" s="147"/>
      <c r="F2" s="147"/>
      <c r="G2" s="147"/>
      <c r="H2" s="147"/>
      <c r="I2" s="147"/>
      <c r="J2" s="147"/>
      <c r="K2" s="131"/>
      <c r="L2" s="147"/>
    </row>
    <row r="3" spans="1:12" ht="15" x14ac:dyDescent="0.2">
      <c r="A3" s="147"/>
      <c r="B3" s="147"/>
      <c r="C3" s="147"/>
      <c r="D3" s="147"/>
      <c r="E3" s="147"/>
      <c r="F3" s="147"/>
      <c r="G3" s="147"/>
      <c r="H3" s="147"/>
      <c r="I3" s="147"/>
      <c r="J3" s="147" t="s">
        <v>1100</v>
      </c>
      <c r="K3" s="131"/>
      <c r="L3" s="147"/>
    </row>
    <row r="4" spans="1:12" ht="15" x14ac:dyDescent="0.2">
      <c r="A4" s="147" t="s">
        <v>1101</v>
      </c>
      <c r="B4" s="427">
        <v>300000</v>
      </c>
      <c r="C4" s="147" t="s">
        <v>1102</v>
      </c>
      <c r="D4" s="147"/>
      <c r="E4" s="147"/>
      <c r="F4" s="147"/>
      <c r="G4" s="147"/>
      <c r="H4" s="147"/>
      <c r="I4" s="147"/>
      <c r="J4" s="147" t="s">
        <v>811</v>
      </c>
      <c r="K4" s="131">
        <v>300000</v>
      </c>
      <c r="L4" s="147"/>
    </row>
    <row r="5" spans="1:12" ht="15" x14ac:dyDescent="0.2">
      <c r="A5" s="147" t="s">
        <v>1103</v>
      </c>
      <c r="B5" s="427">
        <v>500000</v>
      </c>
      <c r="C5" s="147" t="s">
        <v>1102</v>
      </c>
      <c r="D5" s="147"/>
      <c r="E5" s="147"/>
      <c r="F5" s="147"/>
      <c r="G5" s="147"/>
      <c r="H5" s="147"/>
      <c r="I5" s="147"/>
      <c r="J5" s="147" t="s">
        <v>872</v>
      </c>
      <c r="K5" s="131">
        <v>500000</v>
      </c>
      <c r="L5" s="147"/>
    </row>
    <row r="6" spans="1:12" ht="15" x14ac:dyDescent="0.2">
      <c r="A6" s="147"/>
      <c r="B6" s="147"/>
      <c r="C6" s="147"/>
      <c r="D6" s="147"/>
      <c r="E6" s="147"/>
      <c r="F6" s="147"/>
      <c r="G6" s="147"/>
      <c r="H6" s="147"/>
      <c r="I6" s="147"/>
      <c r="J6" s="147"/>
      <c r="K6" s="131" t="s">
        <v>245</v>
      </c>
      <c r="L6" s="147"/>
    </row>
    <row r="7" spans="1:12" ht="15" x14ac:dyDescent="0.2">
      <c r="A7" s="147" t="s">
        <v>1104</v>
      </c>
      <c r="B7" s="147" t="s">
        <v>1105</v>
      </c>
      <c r="C7" s="147" t="s">
        <v>1106</v>
      </c>
      <c r="D7" s="147"/>
      <c r="E7" s="147" t="s">
        <v>1107</v>
      </c>
      <c r="F7" s="147"/>
      <c r="G7" s="147"/>
      <c r="H7" s="147"/>
      <c r="I7" s="147"/>
      <c r="J7" s="147" t="s">
        <v>544</v>
      </c>
      <c r="K7" s="385">
        <f>K4/K5</f>
        <v>0.6</v>
      </c>
      <c r="L7" s="147"/>
    </row>
    <row r="8" spans="1:12" ht="15" x14ac:dyDescent="0.2">
      <c r="A8" s="147" t="s">
        <v>1108</v>
      </c>
      <c r="B8" s="147"/>
      <c r="C8" s="427">
        <v>1500000</v>
      </c>
      <c r="D8" s="147"/>
      <c r="E8" s="147"/>
      <c r="F8" s="147"/>
      <c r="G8" s="147"/>
      <c r="H8" s="147"/>
      <c r="I8" s="147"/>
      <c r="J8" s="147" t="s">
        <v>545</v>
      </c>
      <c r="K8" s="428">
        <v>0.4</v>
      </c>
      <c r="L8" s="147"/>
    </row>
    <row r="9" spans="1:12" ht="15" x14ac:dyDescent="0.2">
      <c r="A9" s="147" t="s">
        <v>1109</v>
      </c>
      <c r="B9" s="427">
        <v>1200000</v>
      </c>
      <c r="C9" s="427">
        <v>1800000</v>
      </c>
      <c r="D9" s="147"/>
      <c r="E9" s="147" t="s">
        <v>1110</v>
      </c>
      <c r="F9" s="427">
        <v>1500000</v>
      </c>
      <c r="G9" s="429">
        <f>F9/F12</f>
        <v>5</v>
      </c>
      <c r="H9" s="147"/>
      <c r="I9" s="147"/>
      <c r="J9" s="147" t="s">
        <v>1111</v>
      </c>
      <c r="K9" s="131">
        <f>1200000*0.6</f>
        <v>720000</v>
      </c>
      <c r="L9" s="147" t="s">
        <v>1112</v>
      </c>
    </row>
    <row r="10" spans="1:12" ht="15" x14ac:dyDescent="0.2">
      <c r="A10" s="147" t="s">
        <v>1113</v>
      </c>
      <c r="B10" s="147"/>
      <c r="C10" s="427">
        <v>600000</v>
      </c>
      <c r="D10" s="147"/>
      <c r="E10" s="147" t="s">
        <v>1114</v>
      </c>
      <c r="F10" s="427">
        <v>1800000</v>
      </c>
      <c r="G10" s="430">
        <f>F10/F12</f>
        <v>6</v>
      </c>
      <c r="H10" s="147"/>
      <c r="I10" s="147"/>
      <c r="J10" s="147"/>
      <c r="K10" s="131"/>
      <c r="L10" s="147"/>
    </row>
    <row r="11" spans="1:12" ht="15" x14ac:dyDescent="0.2">
      <c r="A11" s="147" t="s">
        <v>1115</v>
      </c>
      <c r="B11" s="427">
        <v>900000</v>
      </c>
      <c r="C11" s="147"/>
      <c r="D11" s="147"/>
      <c r="E11" s="147" t="s">
        <v>1116</v>
      </c>
      <c r="F11" s="427">
        <v>3300000</v>
      </c>
      <c r="G11" s="147"/>
      <c r="H11" s="147"/>
      <c r="I11" s="147"/>
      <c r="J11" s="147" t="s">
        <v>1100</v>
      </c>
      <c r="K11" s="131">
        <f>1200000*0.4</f>
        <v>480000</v>
      </c>
      <c r="L11" s="147" t="s">
        <v>1117</v>
      </c>
    </row>
    <row r="12" spans="1:12" ht="15" x14ac:dyDescent="0.2">
      <c r="A12" s="147"/>
      <c r="B12" s="427">
        <f>B9+B11</f>
        <v>2100000</v>
      </c>
      <c r="C12" s="147"/>
      <c r="D12" s="147"/>
      <c r="E12" s="147" t="s">
        <v>1118</v>
      </c>
      <c r="F12" s="427">
        <v>300000</v>
      </c>
      <c r="G12" s="147"/>
      <c r="H12" s="147"/>
      <c r="I12" s="147"/>
      <c r="J12" s="147"/>
      <c r="K12" s="131">
        <f>SUM(K9:K11)</f>
        <v>1200000</v>
      </c>
      <c r="L12" s="147"/>
    </row>
    <row r="13" spans="1:12" ht="15" x14ac:dyDescent="0.2">
      <c r="A13" s="431" t="s">
        <v>1119</v>
      </c>
      <c r="B13" s="431"/>
      <c r="C13" s="147"/>
      <c r="D13" s="147"/>
      <c r="E13" s="147" t="s">
        <v>1120</v>
      </c>
      <c r="F13" s="430">
        <v>11</v>
      </c>
      <c r="G13" s="147"/>
      <c r="H13" s="147"/>
      <c r="I13" s="147"/>
      <c r="J13" s="147"/>
      <c r="K13" s="131"/>
      <c r="L13" s="147"/>
    </row>
    <row r="14" spans="1:12" ht="15" x14ac:dyDescent="0.2">
      <c r="A14" s="431"/>
      <c r="B14" s="431"/>
      <c r="C14" s="147"/>
      <c r="D14" s="147"/>
      <c r="E14" s="147"/>
      <c r="F14" s="147"/>
      <c r="G14" s="147"/>
      <c r="H14" s="147"/>
      <c r="I14" s="147"/>
      <c r="J14" s="147"/>
      <c r="K14" s="131"/>
      <c r="L14" s="147"/>
    </row>
    <row r="15" spans="1:12" ht="15" x14ac:dyDescent="0.2">
      <c r="A15" s="431" t="s">
        <v>1121</v>
      </c>
      <c r="B15" s="432">
        <f>B4*B2</f>
        <v>7500000</v>
      </c>
      <c r="C15" s="433">
        <v>1</v>
      </c>
      <c r="D15" s="147"/>
      <c r="E15" s="147"/>
      <c r="F15" s="147"/>
      <c r="G15" s="147"/>
      <c r="H15" s="147"/>
      <c r="I15" s="147"/>
      <c r="J15" s="147"/>
      <c r="K15" s="131"/>
      <c r="L15" s="147"/>
    </row>
    <row r="16" spans="1:12" ht="15" x14ac:dyDescent="0.2">
      <c r="A16" s="431" t="s">
        <v>1122</v>
      </c>
      <c r="B16" s="432">
        <f>F11</f>
        <v>3300000</v>
      </c>
      <c r="C16" s="147"/>
      <c r="D16" s="147"/>
      <c r="E16" s="147" t="s">
        <v>1123</v>
      </c>
      <c r="F16" s="147"/>
      <c r="G16" s="147"/>
      <c r="H16" s="147"/>
      <c r="I16" s="147"/>
      <c r="J16" s="147"/>
      <c r="K16" s="131"/>
      <c r="L16" s="147"/>
    </row>
    <row r="17" spans="1:12" ht="15" x14ac:dyDescent="0.2">
      <c r="A17" s="431" t="s">
        <v>1124</v>
      </c>
      <c r="B17" s="432">
        <f>B15-B16</f>
        <v>4200000</v>
      </c>
      <c r="C17" s="147"/>
      <c r="D17" s="147"/>
      <c r="E17" s="147"/>
      <c r="F17" s="147"/>
      <c r="G17" s="147"/>
      <c r="H17" s="147"/>
      <c r="I17" s="147"/>
      <c r="J17" s="147"/>
      <c r="K17" s="131"/>
      <c r="L17" s="147"/>
    </row>
    <row r="18" spans="1:12" ht="15" x14ac:dyDescent="0.2">
      <c r="A18" s="431" t="s">
        <v>1125</v>
      </c>
      <c r="B18" s="432">
        <f>F18</f>
        <v>600000</v>
      </c>
      <c r="C18" s="147"/>
      <c r="D18" s="147"/>
      <c r="E18" s="147" t="s">
        <v>1126</v>
      </c>
      <c r="F18" s="427">
        <v>600000</v>
      </c>
      <c r="G18" s="147"/>
      <c r="H18" s="147"/>
      <c r="I18" s="147"/>
      <c r="J18" s="147"/>
      <c r="K18" s="131"/>
      <c r="L18" s="147"/>
    </row>
    <row r="19" spans="1:12" ht="15" x14ac:dyDescent="0.2">
      <c r="A19" s="431" t="s">
        <v>1127</v>
      </c>
      <c r="B19" s="432">
        <f>B17-B18</f>
        <v>3600000</v>
      </c>
      <c r="C19" s="433">
        <v>0.48</v>
      </c>
      <c r="D19" s="147"/>
      <c r="E19" s="147" t="s">
        <v>1128</v>
      </c>
      <c r="F19" s="427">
        <v>300000</v>
      </c>
      <c r="G19" s="147"/>
      <c r="H19" s="147"/>
      <c r="I19" s="147"/>
      <c r="J19" s="147"/>
      <c r="K19" s="131"/>
      <c r="L19" s="147"/>
    </row>
    <row r="20" spans="1:12" ht="15" x14ac:dyDescent="0.2">
      <c r="A20" s="431" t="s">
        <v>1129</v>
      </c>
      <c r="B20" s="432">
        <f>B9+B11</f>
        <v>2100000</v>
      </c>
      <c r="C20" s="147"/>
      <c r="D20" s="147"/>
      <c r="E20" s="147" t="s">
        <v>1130</v>
      </c>
      <c r="F20" s="430">
        <v>2</v>
      </c>
      <c r="G20" s="147"/>
      <c r="H20" s="147"/>
      <c r="I20" s="147"/>
      <c r="J20" s="147"/>
      <c r="K20" s="131"/>
      <c r="L20" s="147"/>
    </row>
    <row r="21" spans="1:12" ht="15" x14ac:dyDescent="0.2">
      <c r="A21" s="431" t="s">
        <v>1131</v>
      </c>
      <c r="B21" s="432">
        <f>B19-B20</f>
        <v>1500000</v>
      </c>
      <c r="C21" s="147"/>
      <c r="D21" s="147"/>
      <c r="E21" s="147"/>
      <c r="F21" s="147"/>
      <c r="G21" s="147"/>
      <c r="H21" s="147"/>
      <c r="I21" s="147"/>
      <c r="J21" s="147"/>
      <c r="K21" s="131"/>
      <c r="L21" s="147"/>
    </row>
    <row r="22" spans="1:12" ht="15" x14ac:dyDescent="0.2">
      <c r="A22" s="147"/>
      <c r="B22" s="147"/>
      <c r="C22" s="147"/>
      <c r="D22" s="147"/>
      <c r="E22" s="147"/>
      <c r="F22" s="147"/>
      <c r="G22" s="147"/>
      <c r="H22" s="147"/>
      <c r="I22" s="147"/>
      <c r="J22" s="147"/>
      <c r="K22" s="131"/>
      <c r="L22" s="147"/>
    </row>
    <row r="23" spans="1:12" ht="15" x14ac:dyDescent="0.2">
      <c r="A23" s="431" t="s">
        <v>1132</v>
      </c>
      <c r="B23" s="147"/>
      <c r="C23" s="147"/>
      <c r="D23" s="147"/>
      <c r="E23" s="147"/>
      <c r="F23" s="147"/>
      <c r="G23" s="147"/>
      <c r="H23" s="147"/>
      <c r="I23" s="147"/>
      <c r="J23" s="147"/>
      <c r="K23" s="131"/>
      <c r="L23" s="147"/>
    </row>
    <row r="24" spans="1:12" ht="15" x14ac:dyDescent="0.2">
      <c r="A24" s="147"/>
      <c r="B24" s="147"/>
      <c r="C24" s="147"/>
      <c r="D24" s="147"/>
      <c r="E24" s="147"/>
      <c r="F24" s="147"/>
      <c r="G24" s="147"/>
      <c r="H24" s="147"/>
      <c r="I24" s="147"/>
      <c r="J24" s="147"/>
      <c r="K24" s="131"/>
      <c r="L24" s="147"/>
    </row>
    <row r="25" spans="1:12" ht="15" x14ac:dyDescent="0.2">
      <c r="A25" s="147" t="s">
        <v>1133</v>
      </c>
      <c r="B25" s="434" t="s">
        <v>1105</v>
      </c>
      <c r="C25" s="426">
        <v>4375000</v>
      </c>
      <c r="D25" s="147"/>
      <c r="E25" s="131"/>
      <c r="F25" s="147"/>
      <c r="G25" s="147"/>
      <c r="H25" s="147"/>
      <c r="I25" s="147"/>
      <c r="J25" s="147"/>
      <c r="K25" s="131"/>
      <c r="L25" s="147"/>
    </row>
    <row r="26" spans="1:12" ht="15" x14ac:dyDescent="0.2">
      <c r="A26" s="147"/>
      <c r="B26" s="152" t="s">
        <v>1134</v>
      </c>
      <c r="C26" s="147"/>
      <c r="D26" s="147"/>
      <c r="E26" s="147"/>
      <c r="F26" s="147"/>
      <c r="G26" s="147"/>
      <c r="H26" s="147"/>
      <c r="I26" s="147"/>
      <c r="J26" s="147"/>
      <c r="K26" s="131"/>
      <c r="L26" s="147"/>
    </row>
    <row r="27" spans="1:12" ht="15" x14ac:dyDescent="0.2">
      <c r="A27" s="147"/>
      <c r="B27" s="152"/>
      <c r="C27" s="147"/>
      <c r="D27" s="147"/>
      <c r="E27" s="147"/>
      <c r="F27" s="426"/>
      <c r="G27" s="147"/>
      <c r="H27" s="147"/>
      <c r="I27" s="147"/>
      <c r="J27" s="147"/>
      <c r="K27" s="131"/>
      <c r="L27" s="147"/>
    </row>
    <row r="28" spans="1:12" ht="15" x14ac:dyDescent="0.2">
      <c r="A28" s="147" t="s">
        <v>1135</v>
      </c>
      <c r="B28" s="434" t="s">
        <v>1105</v>
      </c>
      <c r="C28" s="435">
        <f>B20</f>
        <v>2100000</v>
      </c>
      <c r="D28" s="427">
        <v>175000</v>
      </c>
      <c r="E28" s="147" t="s">
        <v>427</v>
      </c>
      <c r="F28" s="426"/>
      <c r="G28" s="147"/>
      <c r="H28" s="147"/>
      <c r="I28" s="147"/>
      <c r="J28" s="147"/>
      <c r="K28" s="131"/>
      <c r="L28" s="147"/>
    </row>
    <row r="29" spans="1:12" ht="15" x14ac:dyDescent="0.2">
      <c r="A29" s="147"/>
      <c r="B29" s="152" t="s">
        <v>1136</v>
      </c>
      <c r="C29" s="152" t="s">
        <v>1137</v>
      </c>
      <c r="D29" s="147"/>
      <c r="E29" s="147"/>
      <c r="F29" s="147"/>
      <c r="G29" s="147"/>
      <c r="H29" s="147"/>
      <c r="I29" s="147"/>
      <c r="J29" s="427"/>
      <c r="K29" s="131"/>
      <c r="L29" s="147"/>
    </row>
    <row r="30" spans="1:12" ht="15" x14ac:dyDescent="0.2">
      <c r="A30" s="147"/>
      <c r="B30" s="147"/>
      <c r="C30" s="147"/>
      <c r="D30" s="147"/>
      <c r="E30" s="147"/>
      <c r="F30" s="147"/>
      <c r="G30" s="147"/>
      <c r="H30" s="147"/>
      <c r="I30" s="147"/>
      <c r="J30" s="147"/>
      <c r="K30" s="131"/>
      <c r="L30" s="147"/>
    </row>
    <row r="31" spans="1:12" ht="15" x14ac:dyDescent="0.2">
      <c r="A31" s="147" t="s">
        <v>1138</v>
      </c>
      <c r="B31" s="147"/>
      <c r="C31" s="147"/>
      <c r="D31" s="147"/>
      <c r="E31" s="147"/>
      <c r="F31" s="147"/>
      <c r="G31" s="147"/>
      <c r="H31" s="147"/>
      <c r="I31" s="147"/>
      <c r="J31" s="427"/>
      <c r="K31" s="131"/>
      <c r="L31" s="427"/>
    </row>
    <row r="32" spans="1:12" ht="15" x14ac:dyDescent="0.2">
      <c r="A32" s="147" t="s">
        <v>1139</v>
      </c>
      <c r="B32" s="434" t="s">
        <v>167</v>
      </c>
      <c r="C32" s="147" t="s">
        <v>1089</v>
      </c>
      <c r="D32" s="436">
        <f>B21</f>
        <v>1500000</v>
      </c>
      <c r="E32" s="437">
        <f>D32/D33</f>
        <v>0.38461538461538464</v>
      </c>
      <c r="F32" s="147"/>
      <c r="G32" s="147"/>
      <c r="H32" s="147"/>
      <c r="I32" s="147"/>
      <c r="J32" s="147"/>
      <c r="K32" s="131"/>
      <c r="L32" s="427"/>
    </row>
    <row r="33" spans="1:12" ht="15" x14ac:dyDescent="0.2">
      <c r="A33" s="147"/>
      <c r="B33" s="152" t="s">
        <v>1140</v>
      </c>
      <c r="C33" s="147"/>
      <c r="D33" s="427">
        <f>C8+C9+C10</f>
        <v>3900000</v>
      </c>
      <c r="E33" s="147"/>
      <c r="F33" s="147"/>
      <c r="G33" s="147"/>
      <c r="H33" s="147"/>
      <c r="I33" s="147"/>
      <c r="J33" s="427"/>
      <c r="K33" s="131"/>
      <c r="L33" s="427"/>
    </row>
    <row r="34" spans="1:12" ht="15" x14ac:dyDescent="0.2">
      <c r="A34" s="147"/>
      <c r="B34" s="147"/>
      <c r="C34" s="147"/>
      <c r="D34" s="147"/>
      <c r="E34" s="147"/>
      <c r="F34" s="147"/>
      <c r="G34" s="147"/>
      <c r="H34" s="147"/>
      <c r="I34" s="147"/>
      <c r="J34" s="427"/>
      <c r="K34" s="131"/>
      <c r="L34" s="131"/>
    </row>
    <row r="35" spans="1:12" ht="15" x14ac:dyDescent="0.2">
      <c r="A35" s="147" t="s">
        <v>1141</v>
      </c>
      <c r="B35" s="434" t="s">
        <v>167</v>
      </c>
      <c r="C35" s="147" t="s">
        <v>1089</v>
      </c>
      <c r="D35" s="436">
        <f>B21</f>
        <v>1500000</v>
      </c>
      <c r="E35" s="437">
        <f>D35/D36</f>
        <v>0.7142857142857143</v>
      </c>
      <c r="F35" s="147"/>
      <c r="G35" s="147"/>
      <c r="H35" s="147"/>
      <c r="I35" s="147"/>
      <c r="J35" s="427"/>
      <c r="K35" s="131"/>
      <c r="L35" s="147"/>
    </row>
    <row r="36" spans="1:12" ht="15" x14ac:dyDescent="0.2">
      <c r="A36" s="147"/>
      <c r="B36" s="152" t="s">
        <v>1142</v>
      </c>
      <c r="C36" s="147"/>
      <c r="D36" s="427">
        <f>B20</f>
        <v>2100000</v>
      </c>
      <c r="E36" s="147"/>
      <c r="F36" s="147"/>
      <c r="G36" s="147"/>
      <c r="H36" s="147"/>
      <c r="I36" s="147"/>
      <c r="J36" s="147"/>
      <c r="K36" s="131"/>
      <c r="L36" s="147"/>
    </row>
    <row r="37" spans="1:12" ht="15" x14ac:dyDescent="0.2">
      <c r="A37" s="147"/>
      <c r="B37" s="147"/>
      <c r="C37" s="147"/>
      <c r="D37" s="147"/>
      <c r="E37" s="147"/>
      <c r="F37" s="147"/>
      <c r="G37" s="147"/>
      <c r="H37" s="147"/>
      <c r="I37" s="147"/>
      <c r="J37" s="147"/>
      <c r="K37" s="131"/>
      <c r="L37" s="147"/>
    </row>
    <row r="38" spans="1:12" ht="15" x14ac:dyDescent="0.2">
      <c r="A38" s="147" t="s">
        <v>1143</v>
      </c>
      <c r="B38" s="434" t="s">
        <v>1144</v>
      </c>
      <c r="C38" s="147" t="s">
        <v>1089</v>
      </c>
      <c r="D38" s="438" t="s">
        <v>1145</v>
      </c>
      <c r="E38" s="439">
        <f>B15-C25</f>
        <v>3125000</v>
      </c>
      <c r="F38" s="440">
        <f>E38/E39</f>
        <v>0.41666666666666669</v>
      </c>
      <c r="G38" s="147"/>
      <c r="H38" s="147"/>
      <c r="I38" s="147"/>
      <c r="J38" s="147"/>
      <c r="K38" s="131"/>
      <c r="L38" s="147"/>
    </row>
    <row r="39" spans="1:12" ht="15" x14ac:dyDescent="0.2">
      <c r="A39" s="147"/>
      <c r="B39" s="152" t="s">
        <v>1096</v>
      </c>
      <c r="C39" s="147"/>
      <c r="D39" s="131">
        <v>7500000</v>
      </c>
      <c r="E39" s="427">
        <f>B15</f>
        <v>7500000</v>
      </c>
      <c r="F39" s="147"/>
      <c r="G39" s="147"/>
      <c r="H39" s="147"/>
      <c r="I39" s="147"/>
      <c r="J39" s="147"/>
      <c r="K39" s="131"/>
      <c r="L39" s="147"/>
    </row>
    <row r="40" spans="1:12" ht="15" x14ac:dyDescent="0.2">
      <c r="A40" s="147"/>
      <c r="B40" s="147"/>
      <c r="C40" s="147"/>
      <c r="D40" s="147"/>
      <c r="E40" s="147"/>
      <c r="F40" s="147"/>
      <c r="G40" s="147"/>
      <c r="H40" s="147"/>
      <c r="I40" s="147"/>
      <c r="J40" s="147"/>
      <c r="K40" s="131"/>
      <c r="L40" s="147"/>
    </row>
    <row r="41" spans="1:12" ht="15" x14ac:dyDescent="0.2">
      <c r="A41" s="147"/>
      <c r="B41" s="147"/>
      <c r="C41" s="147"/>
      <c r="D41" s="147" t="s">
        <v>1146</v>
      </c>
      <c r="E41" s="428">
        <f>(300000-175000)/300000</f>
        <v>0.41666666666666669</v>
      </c>
      <c r="F41" s="147"/>
      <c r="G41" s="147"/>
      <c r="H41" s="147"/>
      <c r="I41" s="147"/>
      <c r="J41" s="147"/>
      <c r="K41" s="131"/>
      <c r="L41" s="147"/>
    </row>
    <row r="42" spans="1:12" ht="15" x14ac:dyDescent="0.2">
      <c r="A42" s="147"/>
      <c r="B42" s="147"/>
      <c r="C42" s="147"/>
      <c r="D42" s="147">
        <v>300000</v>
      </c>
      <c r="E42" s="147"/>
      <c r="F42" s="147"/>
      <c r="G42" s="147"/>
      <c r="H42" s="147"/>
      <c r="I42" s="147"/>
      <c r="J42" s="147"/>
      <c r="K42" s="131"/>
      <c r="L42" s="147"/>
    </row>
    <row r="43" spans="1:12" ht="15" x14ac:dyDescent="0.2">
      <c r="A43" s="147" t="s">
        <v>1147</v>
      </c>
      <c r="B43" s="147"/>
      <c r="C43" s="147"/>
      <c r="D43" s="147"/>
      <c r="E43" s="147"/>
      <c r="F43" s="147"/>
      <c r="G43" s="147"/>
      <c r="H43" s="147"/>
      <c r="I43" s="147"/>
      <c r="J43" s="147"/>
      <c r="K43" s="131"/>
      <c r="L43" s="147"/>
    </row>
    <row r="44" spans="1:12" ht="15" x14ac:dyDescent="0.2">
      <c r="A44" s="147"/>
      <c r="B44" s="147"/>
      <c r="C44" s="147"/>
      <c r="D44" s="147"/>
      <c r="E44" s="147"/>
      <c r="F44" s="147"/>
      <c r="G44" s="147"/>
      <c r="H44" s="147"/>
      <c r="I44" s="147"/>
      <c r="J44" s="147"/>
      <c r="K44" s="131"/>
      <c r="L44" s="147"/>
    </row>
    <row r="45" spans="1:12" ht="15" x14ac:dyDescent="0.2">
      <c r="A45" s="147" t="s">
        <v>1148</v>
      </c>
      <c r="B45" s="147" t="s">
        <v>1149</v>
      </c>
      <c r="C45" s="147"/>
      <c r="D45" s="147"/>
      <c r="E45" s="147" t="s">
        <v>1150</v>
      </c>
      <c r="F45" s="147"/>
      <c r="G45" s="147"/>
      <c r="H45" s="147"/>
      <c r="I45" s="147"/>
      <c r="J45" s="147"/>
      <c r="K45" s="131"/>
      <c r="L45" s="147"/>
    </row>
    <row r="46" spans="1:12" ht="15" x14ac:dyDescent="0.2">
      <c r="A46" s="147"/>
      <c r="B46" s="147" t="s">
        <v>1151</v>
      </c>
      <c r="C46" s="147"/>
      <c r="D46" s="147"/>
      <c r="E46" s="147"/>
      <c r="F46" s="147"/>
      <c r="G46" s="147"/>
      <c r="H46" s="147"/>
      <c r="I46" s="147"/>
      <c r="J46" s="147"/>
      <c r="K46" s="131"/>
      <c r="L46" s="147"/>
    </row>
    <row r="47" spans="1:12" ht="15" x14ac:dyDescent="0.2">
      <c r="A47" s="147"/>
      <c r="B47" s="147"/>
      <c r="C47" s="147"/>
      <c r="D47" s="147"/>
      <c r="E47" s="147"/>
      <c r="F47" s="147"/>
      <c r="G47" s="147"/>
      <c r="H47" s="147"/>
      <c r="I47" s="147"/>
      <c r="J47" s="147"/>
      <c r="K47" s="131"/>
      <c r="L47" s="147"/>
    </row>
    <row r="48" spans="1:12" ht="15" x14ac:dyDescent="0.2">
      <c r="A48" s="147" t="s">
        <v>1152</v>
      </c>
      <c r="B48" s="147" t="s">
        <v>1153</v>
      </c>
      <c r="C48" s="147"/>
      <c r="D48" s="147"/>
      <c r="E48" s="147"/>
      <c r="F48" s="147"/>
      <c r="G48" s="147"/>
      <c r="H48" s="147"/>
      <c r="I48" s="147"/>
      <c r="J48" s="147"/>
      <c r="K48" s="131"/>
      <c r="L48" s="147"/>
    </row>
    <row r="49" spans="1:12" ht="15" x14ac:dyDescent="0.2">
      <c r="A49" s="147"/>
      <c r="B49" s="147" t="s">
        <v>1154</v>
      </c>
      <c r="C49" s="426">
        <v>14</v>
      </c>
      <c r="D49" s="147"/>
      <c r="E49" s="147"/>
      <c r="F49" s="147"/>
      <c r="G49" s="147"/>
      <c r="H49" s="147"/>
      <c r="I49" s="147"/>
      <c r="J49" s="147"/>
      <c r="K49" s="131"/>
      <c r="L49" s="147"/>
    </row>
    <row r="50" spans="1:12" ht="15" x14ac:dyDescent="0.2">
      <c r="A50" s="147"/>
      <c r="B50" s="147" t="s">
        <v>1120</v>
      </c>
      <c r="C50" s="426">
        <v>11</v>
      </c>
      <c r="D50" s="147"/>
      <c r="E50" s="147"/>
      <c r="F50" s="147"/>
      <c r="G50" s="147"/>
      <c r="H50" s="147"/>
      <c r="I50" s="147"/>
      <c r="J50" s="147"/>
      <c r="K50" s="131"/>
      <c r="L50" s="147"/>
    </row>
    <row r="51" spans="1:12" ht="15" x14ac:dyDescent="0.2">
      <c r="A51" s="147"/>
      <c r="B51" s="147" t="s">
        <v>1155</v>
      </c>
      <c r="C51" s="426">
        <v>3</v>
      </c>
      <c r="D51" s="147"/>
      <c r="E51" s="147" t="s">
        <v>1156</v>
      </c>
      <c r="F51" s="147"/>
      <c r="G51" s="147"/>
      <c r="H51" s="147"/>
      <c r="I51" s="147"/>
      <c r="J51" s="147"/>
      <c r="K51" s="131"/>
      <c r="L51" s="147"/>
    </row>
    <row r="52" spans="1:12" ht="15" x14ac:dyDescent="0.2">
      <c r="A52" s="441" t="s">
        <v>1157</v>
      </c>
      <c r="B52" s="147" t="s">
        <v>1158</v>
      </c>
      <c r="C52" s="426">
        <f>C51*200000</f>
        <v>600000</v>
      </c>
      <c r="D52" s="147"/>
      <c r="E52" s="147"/>
      <c r="F52" s="147"/>
      <c r="G52" s="147"/>
      <c r="H52" s="147"/>
      <c r="I52" s="147"/>
      <c r="J52" s="147"/>
      <c r="K52" s="131"/>
      <c r="L52" s="147"/>
    </row>
    <row r="53" spans="1:12" ht="15" x14ac:dyDescent="0.2">
      <c r="A53" s="147"/>
      <c r="B53" s="147"/>
      <c r="C53" s="147"/>
      <c r="D53" s="147"/>
      <c r="E53" s="147"/>
      <c r="F53" s="147"/>
      <c r="G53" s="147"/>
      <c r="H53" s="147"/>
      <c r="I53" s="147"/>
      <c r="J53" s="147"/>
      <c r="K53" s="131"/>
      <c r="L53" s="147"/>
    </row>
    <row r="54" spans="1:12" ht="15" x14ac:dyDescent="0.2">
      <c r="A54" s="147" t="s">
        <v>1159</v>
      </c>
      <c r="B54" s="147"/>
      <c r="C54" s="147"/>
      <c r="D54" s="147"/>
      <c r="E54" s="147"/>
      <c r="F54" s="147"/>
      <c r="G54" s="147"/>
      <c r="H54" s="147"/>
      <c r="I54" s="147"/>
      <c r="J54" s="147"/>
      <c r="K54" s="131"/>
      <c r="L54" s="147"/>
    </row>
    <row r="55" spans="1:12" ht="15" x14ac:dyDescent="0.2">
      <c r="A55" s="147"/>
      <c r="B55" s="147"/>
      <c r="C55" s="147"/>
      <c r="D55" s="147"/>
      <c r="E55" s="147"/>
      <c r="F55" s="147"/>
      <c r="G55" s="147"/>
      <c r="H55" s="147"/>
      <c r="I55" s="147"/>
      <c r="J55" s="147"/>
      <c r="K55" s="131"/>
      <c r="L55" s="147"/>
    </row>
    <row r="56" spans="1:12" ht="15" x14ac:dyDescent="0.2">
      <c r="A56" s="147" t="s">
        <v>1160</v>
      </c>
      <c r="B56" s="427">
        <v>200000</v>
      </c>
      <c r="C56" s="147" t="s">
        <v>427</v>
      </c>
      <c r="D56" s="147"/>
      <c r="E56" s="147"/>
      <c r="F56" s="147"/>
      <c r="G56" s="147"/>
      <c r="H56" s="147"/>
      <c r="I56" s="147"/>
      <c r="J56" s="147"/>
      <c r="K56" s="131"/>
      <c r="L56" s="147"/>
    </row>
    <row r="57" spans="1:12" ht="15" x14ac:dyDescent="0.2">
      <c r="A57" s="147"/>
      <c r="B57" s="147"/>
      <c r="C57" s="147"/>
      <c r="D57" s="147"/>
      <c r="E57" s="147"/>
      <c r="F57" s="147"/>
      <c r="G57" s="147"/>
      <c r="H57" s="147"/>
      <c r="I57" s="147"/>
      <c r="J57" s="147"/>
      <c r="K57" s="131"/>
      <c r="L57" s="147"/>
    </row>
    <row r="58" spans="1:12" ht="15" x14ac:dyDescent="0.2">
      <c r="A58" s="147" t="s">
        <v>1161</v>
      </c>
      <c r="B58" s="147"/>
      <c r="C58" s="147"/>
      <c r="D58" s="147"/>
      <c r="E58" s="147"/>
      <c r="F58" s="147"/>
      <c r="G58" s="147"/>
      <c r="H58" s="147"/>
      <c r="I58" s="147"/>
      <c r="J58" s="147"/>
      <c r="K58" s="131"/>
      <c r="L58" s="147"/>
    </row>
    <row r="59" spans="1:12" ht="15" x14ac:dyDescent="0.2">
      <c r="A59" s="147"/>
      <c r="B59" s="147"/>
      <c r="C59" s="147"/>
      <c r="D59" s="147"/>
      <c r="E59" s="147"/>
      <c r="F59" s="147"/>
      <c r="G59" s="147"/>
      <c r="H59" s="147"/>
      <c r="I59" s="147"/>
      <c r="J59" s="147"/>
      <c r="K59" s="131"/>
      <c r="L59" s="147"/>
    </row>
    <row r="60" spans="1:12" ht="15" x14ac:dyDescent="0.2">
      <c r="A60" s="147" t="s">
        <v>1162</v>
      </c>
      <c r="B60" s="426">
        <v>11</v>
      </c>
      <c r="C60" s="147"/>
      <c r="D60" s="147"/>
      <c r="E60" s="147"/>
      <c r="F60" s="147"/>
      <c r="G60" s="147"/>
      <c r="H60" s="147"/>
      <c r="I60" s="147"/>
      <c r="J60" s="147"/>
      <c r="K60" s="131"/>
      <c r="L60" s="147"/>
    </row>
    <row r="61" spans="1:12" ht="15" x14ac:dyDescent="0.2">
      <c r="A61" s="147" t="s">
        <v>1130</v>
      </c>
      <c r="B61" s="426">
        <v>2</v>
      </c>
      <c r="C61" s="147"/>
      <c r="D61" s="147"/>
      <c r="E61" s="147"/>
      <c r="F61" s="147"/>
      <c r="G61" s="147"/>
      <c r="H61" s="147"/>
      <c r="I61" s="147"/>
      <c r="J61" s="147"/>
      <c r="K61" s="131"/>
      <c r="L61" s="147"/>
    </row>
    <row r="62" spans="1:12" ht="15" x14ac:dyDescent="0.2">
      <c r="A62" s="147" t="s">
        <v>1163</v>
      </c>
      <c r="B62" s="426">
        <v>4</v>
      </c>
      <c r="C62" s="147"/>
      <c r="D62" s="147"/>
      <c r="E62" s="147"/>
      <c r="F62" s="147"/>
      <c r="G62" s="147"/>
      <c r="H62" s="147"/>
      <c r="I62" s="147"/>
      <c r="J62" s="147"/>
      <c r="K62" s="131"/>
      <c r="L62" s="147"/>
    </row>
    <row r="63" spans="1:12" ht="15" x14ac:dyDescent="0.2">
      <c r="A63" s="147" t="s">
        <v>1164</v>
      </c>
      <c r="B63" s="426">
        <v>17</v>
      </c>
      <c r="C63" s="147"/>
      <c r="D63" s="147"/>
      <c r="E63" s="147"/>
      <c r="F63" s="147"/>
      <c r="G63" s="147"/>
      <c r="H63" s="147"/>
      <c r="I63" s="147"/>
      <c r="J63" s="147"/>
      <c r="K63" s="131"/>
      <c r="L63" s="147"/>
    </row>
    <row r="64" spans="1:12" ht="15" x14ac:dyDescent="0.2">
      <c r="A64" s="147"/>
      <c r="B64" s="147"/>
      <c r="C64" s="147"/>
      <c r="D64" s="147"/>
      <c r="E64" s="147"/>
      <c r="F64" s="147"/>
      <c r="G64" s="147"/>
      <c r="H64" s="147"/>
      <c r="I64" s="147"/>
      <c r="J64" s="147"/>
      <c r="K64" s="131"/>
      <c r="L64" s="147"/>
    </row>
    <row r="65" spans="1:12" ht="15" x14ac:dyDescent="0.2">
      <c r="A65" s="147" t="s">
        <v>1135</v>
      </c>
      <c r="B65" s="414" t="s">
        <v>1105</v>
      </c>
      <c r="C65" s="435">
        <v>450000</v>
      </c>
      <c r="D65" s="427">
        <v>25000</v>
      </c>
      <c r="E65" s="147" t="s">
        <v>427</v>
      </c>
      <c r="F65" s="147"/>
      <c r="G65" s="147"/>
      <c r="H65" s="147"/>
      <c r="I65" s="147"/>
      <c r="J65" s="147"/>
      <c r="K65" s="131"/>
      <c r="L65" s="147"/>
    </row>
    <row r="66" spans="1:12" ht="15" x14ac:dyDescent="0.2">
      <c r="A66" s="147"/>
      <c r="B66" s="147" t="s">
        <v>1136</v>
      </c>
      <c r="C66" s="152" t="s">
        <v>1165</v>
      </c>
      <c r="D66" s="147"/>
      <c r="E66" s="147"/>
      <c r="F66" s="147"/>
      <c r="G66" s="147"/>
      <c r="H66" s="147"/>
      <c r="I66" s="147"/>
      <c r="J66" s="147"/>
      <c r="K66" s="131"/>
      <c r="L66" s="147"/>
    </row>
    <row r="67" spans="1:12" ht="15" x14ac:dyDescent="0.2">
      <c r="A67" s="147"/>
      <c r="B67" s="147"/>
      <c r="C67" s="147"/>
      <c r="D67" s="147"/>
      <c r="E67" s="147"/>
      <c r="F67" s="147"/>
      <c r="G67" s="147"/>
      <c r="H67" s="147"/>
      <c r="I67" s="147"/>
      <c r="J67" s="147"/>
      <c r="K67" s="131"/>
      <c r="L67" s="147"/>
    </row>
    <row r="68" spans="1:12" ht="15" x14ac:dyDescent="0.2">
      <c r="A68" s="427">
        <v>200000</v>
      </c>
      <c r="B68" s="147"/>
      <c r="C68" s="147" t="s">
        <v>1166</v>
      </c>
      <c r="D68" s="147"/>
      <c r="E68" s="427">
        <f>200000*(35-25)</f>
        <v>2000000</v>
      </c>
      <c r="F68" s="147"/>
      <c r="G68" s="147"/>
      <c r="H68" s="147"/>
      <c r="I68" s="147"/>
      <c r="J68" s="147"/>
      <c r="K68" s="131"/>
      <c r="L68" s="147"/>
    </row>
    <row r="69" spans="1:12" ht="15" x14ac:dyDescent="0.2">
      <c r="A69" s="147"/>
      <c r="B69" s="147"/>
      <c r="C69" s="147" t="s">
        <v>1167</v>
      </c>
      <c r="D69" s="147"/>
      <c r="E69" s="147"/>
      <c r="F69" s="147"/>
      <c r="G69" s="147"/>
      <c r="H69" s="147"/>
      <c r="I69" s="147"/>
      <c r="J69" s="147"/>
      <c r="K69" s="131"/>
      <c r="L69" s="147"/>
    </row>
    <row r="70" spans="1:12" ht="15" x14ac:dyDescent="0.2">
      <c r="A70" s="147"/>
      <c r="B70" s="147"/>
      <c r="C70" s="147"/>
      <c r="D70" s="147"/>
      <c r="E70" s="147"/>
      <c r="F70" s="147"/>
      <c r="G70" s="147"/>
      <c r="H70" s="147"/>
      <c r="I70" s="147"/>
      <c r="J70" s="147"/>
      <c r="K70" s="131"/>
      <c r="L70" s="147"/>
    </row>
    <row r="71" spans="1:12" ht="15" x14ac:dyDescent="0.2">
      <c r="A71" s="147"/>
      <c r="B71" s="147"/>
      <c r="C71" s="147" t="s">
        <v>1168</v>
      </c>
      <c r="D71" s="147"/>
      <c r="E71" s="427">
        <f>200000*4</f>
        <v>800000</v>
      </c>
      <c r="F71" s="147"/>
      <c r="G71" s="147"/>
      <c r="H71" s="147"/>
      <c r="I71" s="147"/>
      <c r="J71" s="147"/>
      <c r="K71" s="131"/>
      <c r="L71" s="147"/>
    </row>
    <row r="72" spans="1:12" ht="15" x14ac:dyDescent="0.2">
      <c r="A72" s="147"/>
      <c r="B72" s="147" t="s">
        <v>1169</v>
      </c>
      <c r="C72" s="147" t="s">
        <v>1170</v>
      </c>
      <c r="D72" s="147"/>
      <c r="E72" s="147"/>
      <c r="F72" s="147"/>
      <c r="G72" s="147"/>
      <c r="H72" s="147"/>
      <c r="I72" s="147"/>
      <c r="J72" s="147"/>
      <c r="K72" s="131"/>
      <c r="L72" s="147"/>
    </row>
    <row r="73" spans="1:12" ht="15" x14ac:dyDescent="0.2">
      <c r="A73" s="147"/>
      <c r="B73" s="147" t="s">
        <v>1171</v>
      </c>
      <c r="C73" s="147"/>
      <c r="D73" s="147"/>
      <c r="E73" s="427">
        <v>450000</v>
      </c>
      <c r="F73" s="147"/>
      <c r="G73" s="147"/>
      <c r="H73" s="147"/>
      <c r="I73" s="147"/>
      <c r="J73" s="147"/>
      <c r="K73" s="131"/>
      <c r="L73" s="147"/>
    </row>
    <row r="74" spans="1:12" ht="15" x14ac:dyDescent="0.2">
      <c r="A74" s="147"/>
      <c r="B74" s="147"/>
      <c r="C74" s="147"/>
      <c r="D74" s="147"/>
      <c r="E74" s="147"/>
      <c r="F74" s="147"/>
      <c r="G74" s="147"/>
      <c r="H74" s="147"/>
      <c r="I74" s="147"/>
      <c r="J74" s="147"/>
      <c r="K74" s="131"/>
      <c r="L74" s="147"/>
    </row>
    <row r="75" spans="1:12" ht="15" x14ac:dyDescent="0.2">
      <c r="A75" s="147"/>
      <c r="B75" s="147"/>
      <c r="C75" s="147" t="s">
        <v>1172</v>
      </c>
      <c r="D75" s="147"/>
      <c r="E75" s="427">
        <f>E68-E71-E73</f>
        <v>750000</v>
      </c>
      <c r="F75" s="147"/>
      <c r="G75" s="147"/>
      <c r="H75" s="147"/>
      <c r="I75" s="147"/>
      <c r="J75" s="147"/>
      <c r="K75" s="131"/>
      <c r="L75" s="147"/>
    </row>
    <row r="77" spans="1:12" ht="15" x14ac:dyDescent="0.2">
      <c r="A77" s="357" t="s">
        <v>1173</v>
      </c>
      <c r="B77" s="357"/>
      <c r="C77" s="357" t="s">
        <v>1174</v>
      </c>
      <c r="D77" s="357"/>
      <c r="E77" s="357"/>
      <c r="F77" s="357"/>
      <c r="G77" s="357"/>
      <c r="H77" s="357"/>
    </row>
    <row r="78" spans="1:12" ht="15" x14ac:dyDescent="0.2">
      <c r="A78" s="357"/>
      <c r="B78" s="357"/>
      <c r="C78" s="357"/>
      <c r="D78" s="357"/>
      <c r="E78" s="357"/>
      <c r="F78" s="357"/>
      <c r="G78" s="357"/>
      <c r="H78" s="357"/>
    </row>
    <row r="79" spans="1:12" ht="15" x14ac:dyDescent="0.2">
      <c r="A79" s="497">
        <v>300000</v>
      </c>
      <c r="B79" s="274">
        <v>100000</v>
      </c>
      <c r="C79" s="357" t="s">
        <v>1175</v>
      </c>
      <c r="D79" s="357"/>
      <c r="E79" s="357"/>
      <c r="F79" s="357"/>
      <c r="G79" s="357"/>
      <c r="H79" s="357"/>
    </row>
    <row r="80" spans="1:12" ht="15" x14ac:dyDescent="0.2">
      <c r="A80" s="497"/>
      <c r="B80" s="355">
        <v>200000</v>
      </c>
      <c r="C80" s="357" t="s">
        <v>1176</v>
      </c>
      <c r="D80" s="357"/>
      <c r="E80" s="357"/>
      <c r="F80" s="357"/>
      <c r="G80" s="357"/>
      <c r="H80" s="357"/>
    </row>
    <row r="81" spans="1:8" ht="15" x14ac:dyDescent="0.2">
      <c r="A81" s="357"/>
      <c r="B81" s="357"/>
      <c r="C81" s="357"/>
      <c r="D81" s="357"/>
      <c r="E81" s="357"/>
      <c r="F81" s="357"/>
      <c r="G81" s="357"/>
      <c r="H81" s="357"/>
    </row>
    <row r="82" spans="1:8" ht="15" x14ac:dyDescent="0.2">
      <c r="A82" s="442" t="s">
        <v>1177</v>
      </c>
      <c r="B82" s="357" t="s">
        <v>1178</v>
      </c>
      <c r="C82" s="498" t="s">
        <v>1179</v>
      </c>
      <c r="D82" s="357" t="s">
        <v>1180</v>
      </c>
      <c r="E82" s="357"/>
      <c r="F82" s="357"/>
      <c r="G82" s="357"/>
      <c r="H82" s="357"/>
    </row>
    <row r="83" spans="1:8" ht="15" x14ac:dyDescent="0.2">
      <c r="A83" s="357" t="s">
        <v>1181</v>
      </c>
      <c r="B83" s="357" t="s">
        <v>1182</v>
      </c>
      <c r="C83" s="498"/>
      <c r="D83" s="357"/>
      <c r="E83" s="357"/>
      <c r="F83" s="357"/>
      <c r="G83" s="357"/>
      <c r="H83" s="357"/>
    </row>
    <row r="84" spans="1:8" ht="15" x14ac:dyDescent="0.2">
      <c r="A84" s="357"/>
      <c r="B84" s="357"/>
      <c r="C84" s="357"/>
      <c r="D84" s="357"/>
      <c r="E84" s="357"/>
      <c r="F84" s="357"/>
      <c r="G84" s="357"/>
      <c r="H84" s="357"/>
    </row>
    <row r="85" spans="1:8" ht="15" x14ac:dyDescent="0.2">
      <c r="A85" s="357"/>
      <c r="B85" s="357"/>
      <c r="C85" s="357"/>
      <c r="D85" s="357"/>
      <c r="E85" s="357"/>
      <c r="F85" s="357"/>
      <c r="G85" s="357"/>
      <c r="H85" s="357"/>
    </row>
    <row r="86" spans="1:8" ht="15" x14ac:dyDescent="0.2">
      <c r="A86" s="497">
        <v>300000</v>
      </c>
      <c r="B86" s="274">
        <v>100000</v>
      </c>
      <c r="C86" s="357" t="s">
        <v>1183</v>
      </c>
      <c r="D86" s="357"/>
      <c r="E86" s="357"/>
      <c r="F86" s="357"/>
      <c r="G86" s="357"/>
      <c r="H86" s="357"/>
    </row>
    <row r="87" spans="1:8" ht="15" x14ac:dyDescent="0.2">
      <c r="A87" s="497"/>
      <c r="B87" s="355">
        <v>200000</v>
      </c>
      <c r="C87" s="357" t="s">
        <v>1184</v>
      </c>
      <c r="D87" s="357"/>
      <c r="E87" s="357"/>
      <c r="F87" s="357"/>
      <c r="G87" s="357"/>
      <c r="H87" s="357"/>
    </row>
    <row r="88" spans="1:8" ht="15" x14ac:dyDescent="0.2">
      <c r="A88" s="357"/>
      <c r="B88" s="357"/>
      <c r="C88" s="357"/>
      <c r="D88" s="357"/>
      <c r="E88" s="357"/>
      <c r="F88" s="357"/>
      <c r="G88" s="357"/>
      <c r="H88" s="357"/>
    </row>
    <row r="89" spans="1:8" ht="15" x14ac:dyDescent="0.2">
      <c r="A89" s="357"/>
      <c r="B89" s="357"/>
      <c r="C89" s="357"/>
      <c r="D89" s="357"/>
      <c r="E89" s="357"/>
      <c r="F89" s="357"/>
      <c r="G89" s="357"/>
      <c r="H89" s="357"/>
    </row>
    <row r="90" spans="1:8" ht="15" x14ac:dyDescent="0.2">
      <c r="A90" s="357" t="s">
        <v>1183</v>
      </c>
      <c r="B90" s="357" t="s">
        <v>1178</v>
      </c>
      <c r="C90" s="498" t="s">
        <v>1179</v>
      </c>
      <c r="D90" s="357"/>
      <c r="E90" s="357"/>
      <c r="F90" s="357"/>
      <c r="G90" s="357"/>
      <c r="H90" s="357"/>
    </row>
    <row r="91" spans="1:8" ht="15" x14ac:dyDescent="0.2">
      <c r="A91" s="442" t="s">
        <v>1185</v>
      </c>
      <c r="B91" s="442" t="s">
        <v>1186</v>
      </c>
      <c r="C91" s="498"/>
      <c r="D91" s="357"/>
      <c r="E91" s="357"/>
      <c r="F91" s="357"/>
      <c r="G91" s="357"/>
      <c r="H91" s="357"/>
    </row>
    <row r="92" spans="1:8" ht="15" x14ac:dyDescent="0.2">
      <c r="A92" s="357"/>
      <c r="B92" s="357"/>
      <c r="C92" s="357"/>
      <c r="D92" s="357"/>
      <c r="E92" s="357"/>
      <c r="F92" s="357"/>
      <c r="G92" s="357"/>
      <c r="H92" s="357"/>
    </row>
    <row r="93" spans="1:8" ht="15" x14ac:dyDescent="0.2">
      <c r="A93" s="357" t="s">
        <v>1187</v>
      </c>
      <c r="B93" s="357"/>
      <c r="C93" s="357">
        <v>450000</v>
      </c>
      <c r="D93" s="357"/>
      <c r="E93" s="357"/>
      <c r="F93" s="357"/>
      <c r="G93" s="357"/>
      <c r="H93" s="357"/>
    </row>
    <row r="94" spans="1:8" ht="15" x14ac:dyDescent="0.2">
      <c r="A94" s="357"/>
      <c r="B94" s="357"/>
      <c r="C94" s="357"/>
      <c r="D94" s="357"/>
      <c r="E94" s="357"/>
      <c r="F94" s="357"/>
      <c r="G94" s="357"/>
      <c r="H94" s="357"/>
    </row>
    <row r="95" spans="1:8" ht="15" x14ac:dyDescent="0.2">
      <c r="A95" s="357" t="s">
        <v>1188</v>
      </c>
      <c r="B95" s="357"/>
      <c r="C95" s="357"/>
      <c r="D95" s="443" t="s">
        <v>1189</v>
      </c>
      <c r="E95" s="443">
        <v>450000</v>
      </c>
      <c r="F95" s="357" t="s">
        <v>1190</v>
      </c>
      <c r="G95" s="357"/>
      <c r="H95" s="357"/>
    </row>
    <row r="96" spans="1:8" ht="15" x14ac:dyDescent="0.2">
      <c r="A96" s="357"/>
      <c r="B96" s="357"/>
      <c r="C96" s="357"/>
      <c r="D96" s="357" t="s">
        <v>1191</v>
      </c>
      <c r="E96" s="444" t="s">
        <v>1192</v>
      </c>
      <c r="F96" s="357"/>
      <c r="G96" s="357"/>
      <c r="H96" s="357"/>
    </row>
  </sheetData>
  <mergeCells count="4">
    <mergeCell ref="A79:A80"/>
    <mergeCell ref="C82:C83"/>
    <mergeCell ref="A86:A87"/>
    <mergeCell ref="C90:C9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76"/>
  <sheetViews>
    <sheetView zoomScale="93" zoomScaleNormal="93" workbookViewId="0">
      <selection activeCell="D9" sqref="D9"/>
    </sheetView>
  </sheetViews>
  <sheetFormatPr baseColWidth="10" defaultRowHeight="13" x14ac:dyDescent="0.15"/>
  <sheetData>
    <row r="1" spans="1:12" x14ac:dyDescent="0.15">
      <c r="A1" s="396"/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</row>
    <row r="2" spans="1:12" ht="16" x14ac:dyDescent="0.2">
      <c r="A2" s="407" t="s">
        <v>960</v>
      </c>
      <c r="B2" s="408"/>
      <c r="C2" s="409"/>
      <c r="D2" s="409"/>
      <c r="E2" s="410"/>
      <c r="F2" s="396"/>
      <c r="G2" s="396"/>
      <c r="H2" s="396"/>
      <c r="I2" s="396"/>
      <c r="J2" s="396"/>
      <c r="K2" s="396"/>
      <c r="L2" s="396"/>
    </row>
    <row r="3" spans="1:12" x14ac:dyDescent="0.15">
      <c r="A3" s="396"/>
      <c r="B3" s="396"/>
      <c r="C3" s="396"/>
      <c r="D3" s="396"/>
      <c r="E3" s="396"/>
      <c r="F3" s="396"/>
      <c r="G3" s="396"/>
      <c r="H3" s="396"/>
      <c r="I3" s="396"/>
      <c r="J3" s="396"/>
      <c r="K3" s="396"/>
      <c r="L3" s="396"/>
    </row>
    <row r="4" spans="1:12" x14ac:dyDescent="0.15">
      <c r="A4" s="411" t="s">
        <v>961</v>
      </c>
      <c r="B4" s="411"/>
      <c r="C4" s="396"/>
      <c r="D4" s="396"/>
      <c r="E4" s="396"/>
      <c r="F4" s="396"/>
      <c r="G4" s="396"/>
      <c r="H4" s="396"/>
      <c r="I4" s="396"/>
      <c r="J4" s="396"/>
      <c r="K4" s="396"/>
      <c r="L4" s="396"/>
    </row>
    <row r="5" spans="1:12" x14ac:dyDescent="0.15">
      <c r="A5" s="396" t="s">
        <v>962</v>
      </c>
      <c r="B5" s="396"/>
      <c r="C5" s="396"/>
      <c r="D5" s="396"/>
      <c r="E5" s="396"/>
      <c r="F5" s="396"/>
      <c r="G5" s="396"/>
      <c r="H5" s="396"/>
      <c r="I5" s="396"/>
      <c r="J5" s="396"/>
      <c r="K5" s="396"/>
      <c r="L5" s="396"/>
    </row>
    <row r="6" spans="1:12" x14ac:dyDescent="0.15">
      <c r="A6" s="396"/>
      <c r="B6" s="396"/>
      <c r="C6" s="396"/>
      <c r="D6" s="396"/>
      <c r="E6" s="396"/>
      <c r="F6" s="396"/>
      <c r="G6" s="396"/>
      <c r="H6" s="396"/>
      <c r="I6" s="396"/>
      <c r="J6" s="396"/>
      <c r="K6" s="396"/>
      <c r="L6" s="396"/>
    </row>
    <row r="7" spans="1:12" x14ac:dyDescent="0.15">
      <c r="A7" s="396" t="s">
        <v>963</v>
      </c>
      <c r="B7" s="396"/>
      <c r="C7" s="396"/>
      <c r="D7" s="396"/>
      <c r="E7" s="396"/>
      <c r="F7" s="396"/>
      <c r="G7" s="396"/>
      <c r="H7" s="396"/>
      <c r="I7" s="396"/>
      <c r="J7" s="396"/>
      <c r="K7" s="396"/>
      <c r="L7" s="396"/>
    </row>
    <row r="8" spans="1:12" x14ac:dyDescent="0.15">
      <c r="A8" s="396"/>
      <c r="B8" s="396"/>
      <c r="C8" s="396"/>
      <c r="D8" s="396"/>
      <c r="E8" s="396"/>
      <c r="F8" s="396"/>
      <c r="G8" s="396"/>
      <c r="H8" s="396"/>
      <c r="I8" s="396"/>
      <c r="J8" s="396"/>
      <c r="K8" s="396"/>
      <c r="L8" s="396"/>
    </row>
    <row r="9" spans="1:12" x14ac:dyDescent="0.15">
      <c r="A9" s="396"/>
      <c r="B9" s="396" t="s">
        <v>356</v>
      </c>
      <c r="C9" s="396" t="s">
        <v>964</v>
      </c>
      <c r="D9" s="396" t="s">
        <v>965</v>
      </c>
      <c r="E9" s="396"/>
      <c r="F9" s="396"/>
      <c r="G9" s="396"/>
      <c r="H9" s="396"/>
      <c r="I9" s="396"/>
      <c r="J9" s="396"/>
      <c r="K9" s="396"/>
      <c r="L9" s="396"/>
    </row>
    <row r="10" spans="1:12" x14ac:dyDescent="0.15">
      <c r="A10" s="396" t="s">
        <v>966</v>
      </c>
      <c r="B10" s="396">
        <v>8000</v>
      </c>
      <c r="C10" s="396"/>
      <c r="D10" s="396">
        <v>8000</v>
      </c>
      <c r="E10" s="396"/>
      <c r="F10" s="396"/>
      <c r="G10" s="396"/>
      <c r="H10" s="396"/>
      <c r="I10" s="396"/>
      <c r="J10" s="396"/>
      <c r="K10" s="396"/>
      <c r="L10" s="396"/>
    </row>
    <row r="11" spans="1:12" x14ac:dyDescent="0.15">
      <c r="A11" s="396" t="s">
        <v>967</v>
      </c>
      <c r="B11" s="396">
        <v>10000</v>
      </c>
      <c r="C11" s="396">
        <f>10000*0.4</f>
        <v>4000</v>
      </c>
      <c r="D11" s="396">
        <f>10000*0.6</f>
        <v>6000</v>
      </c>
      <c r="E11" s="396"/>
      <c r="F11" s="396"/>
      <c r="G11" s="396"/>
      <c r="H11" s="396"/>
      <c r="I11" s="396"/>
      <c r="J11" s="396"/>
      <c r="K11" s="396"/>
      <c r="L11" s="396"/>
    </row>
    <row r="12" spans="1:12" x14ac:dyDescent="0.15">
      <c r="A12" s="396" t="s">
        <v>678</v>
      </c>
      <c r="B12" s="396">
        <v>4000</v>
      </c>
      <c r="C12" s="396">
        <f>B12*0.9</f>
        <v>3600</v>
      </c>
      <c r="D12" s="396">
        <f>B12*0.1</f>
        <v>400</v>
      </c>
      <c r="E12" s="396"/>
      <c r="F12" s="396"/>
      <c r="G12" s="396"/>
      <c r="H12" s="396"/>
      <c r="I12" s="396"/>
      <c r="J12" s="396"/>
      <c r="K12" s="396"/>
      <c r="L12" s="396"/>
    </row>
    <row r="13" spans="1:12" x14ac:dyDescent="0.15">
      <c r="A13" s="396" t="s">
        <v>968</v>
      </c>
      <c r="B13" s="396">
        <v>2000</v>
      </c>
      <c r="C13" s="396">
        <f>B13</f>
        <v>2000</v>
      </c>
      <c r="D13" s="396"/>
      <c r="E13" s="396"/>
      <c r="F13" s="396"/>
      <c r="G13" s="396"/>
      <c r="H13" s="396"/>
      <c r="I13" s="396"/>
      <c r="J13" s="396"/>
      <c r="K13" s="396"/>
      <c r="L13" s="396"/>
    </row>
    <row r="14" spans="1:12" x14ac:dyDescent="0.15">
      <c r="A14" s="396" t="s">
        <v>969</v>
      </c>
      <c r="B14" s="401">
        <v>1000</v>
      </c>
      <c r="C14" s="401">
        <f>B14</f>
        <v>1000</v>
      </c>
      <c r="D14" s="412"/>
      <c r="E14" s="396"/>
      <c r="F14" s="396"/>
      <c r="G14" s="396"/>
      <c r="H14" s="396"/>
      <c r="I14" s="396"/>
      <c r="J14" s="396"/>
      <c r="K14" s="396"/>
      <c r="L14" s="396"/>
    </row>
    <row r="15" spans="1:12" x14ac:dyDescent="0.15">
      <c r="A15" s="396" t="s">
        <v>4</v>
      </c>
      <c r="B15" s="396">
        <f>SUM(B10:B14)</f>
        <v>25000</v>
      </c>
      <c r="C15" s="396">
        <f>SUM(C10:C14)</f>
        <v>10600</v>
      </c>
      <c r="D15" s="396">
        <f>SUM(D10:D14)</f>
        <v>14400</v>
      </c>
      <c r="E15" s="396"/>
      <c r="F15" s="396"/>
      <c r="G15" s="396"/>
      <c r="H15" s="396"/>
      <c r="I15" s="396"/>
      <c r="J15" s="396"/>
      <c r="K15" s="396"/>
      <c r="L15" s="396"/>
    </row>
    <row r="16" spans="1:12" x14ac:dyDescent="0.15">
      <c r="A16" s="396"/>
      <c r="B16" s="396"/>
      <c r="C16" s="396"/>
      <c r="D16" s="396"/>
      <c r="E16" s="396"/>
      <c r="F16" s="396"/>
      <c r="G16" s="396"/>
      <c r="H16" s="396"/>
      <c r="I16" s="396"/>
      <c r="J16" s="396"/>
      <c r="K16" s="396"/>
      <c r="L16" s="396"/>
    </row>
    <row r="17" spans="1:12" x14ac:dyDescent="0.15">
      <c r="A17" s="396" t="s">
        <v>970</v>
      </c>
      <c r="B17" s="396"/>
      <c r="C17" s="396"/>
      <c r="D17" s="396"/>
      <c r="E17" s="396"/>
      <c r="F17" s="396"/>
      <c r="G17" s="396"/>
      <c r="H17" s="396"/>
      <c r="I17" s="396"/>
      <c r="J17" s="396"/>
      <c r="K17" s="396"/>
      <c r="L17" s="396"/>
    </row>
    <row r="18" spans="1:12" x14ac:dyDescent="0.15">
      <c r="A18" s="396" t="s">
        <v>971</v>
      </c>
      <c r="B18" s="396"/>
      <c r="C18" s="396">
        <f>35000*0.05</f>
        <v>1750</v>
      </c>
      <c r="D18" s="396"/>
      <c r="E18" s="396"/>
      <c r="F18" s="396"/>
      <c r="G18" s="396"/>
      <c r="H18" s="396"/>
      <c r="I18" s="396"/>
      <c r="J18" s="396"/>
      <c r="K18" s="396"/>
      <c r="L18" s="396"/>
    </row>
    <row r="19" spans="1:12" x14ac:dyDescent="0.15">
      <c r="A19" s="396"/>
      <c r="B19" s="396"/>
      <c r="C19" s="396"/>
      <c r="D19" s="396"/>
      <c r="E19" s="396"/>
      <c r="F19" s="396"/>
      <c r="G19" s="396"/>
      <c r="H19" s="396"/>
      <c r="I19" s="396"/>
      <c r="J19" s="396"/>
      <c r="K19" s="396"/>
      <c r="L19" s="396"/>
    </row>
    <row r="20" spans="1:12" x14ac:dyDescent="0.15">
      <c r="A20" s="396" t="s">
        <v>972</v>
      </c>
      <c r="B20" s="396"/>
      <c r="C20" s="396"/>
      <c r="D20" s="396"/>
      <c r="E20" s="396"/>
      <c r="F20" s="396">
        <f>35000-D15-C18-C15</f>
        <v>8250</v>
      </c>
      <c r="G20" s="396"/>
      <c r="H20" s="396"/>
      <c r="I20" s="396"/>
      <c r="J20" s="396"/>
      <c r="K20" s="396"/>
      <c r="L20" s="396"/>
    </row>
    <row r="21" spans="1:12" x14ac:dyDescent="0.15">
      <c r="A21" s="396"/>
      <c r="B21" s="396"/>
      <c r="C21" s="396"/>
      <c r="D21" s="396"/>
      <c r="E21" s="396"/>
      <c r="F21" s="396"/>
      <c r="G21" s="396"/>
      <c r="H21" s="396"/>
      <c r="I21" s="396"/>
      <c r="J21" s="396"/>
      <c r="K21" s="396"/>
      <c r="L21" s="396"/>
    </row>
    <row r="22" spans="1:12" x14ac:dyDescent="0.15">
      <c r="A22" s="396" t="s">
        <v>973</v>
      </c>
      <c r="B22" s="396"/>
      <c r="C22" s="396"/>
      <c r="D22" s="396"/>
      <c r="E22" s="396"/>
      <c r="F22" s="396"/>
      <c r="G22" s="396"/>
      <c r="H22" s="396"/>
      <c r="I22" s="396"/>
      <c r="J22" s="396"/>
      <c r="K22" s="396"/>
      <c r="L22" s="396"/>
    </row>
    <row r="23" spans="1:12" x14ac:dyDescent="0.15">
      <c r="A23" s="396"/>
      <c r="B23" s="396"/>
      <c r="C23" s="396"/>
      <c r="D23" s="396"/>
      <c r="E23" s="396"/>
      <c r="F23" s="396"/>
      <c r="G23" s="396"/>
      <c r="H23" s="396"/>
      <c r="I23" s="396"/>
      <c r="J23" s="396"/>
      <c r="K23" s="396"/>
      <c r="L23" s="396"/>
    </row>
    <row r="24" spans="1:12" x14ac:dyDescent="0.15">
      <c r="A24" s="396" t="s">
        <v>974</v>
      </c>
      <c r="B24" s="396"/>
      <c r="C24" s="396">
        <f>C11*10000</f>
        <v>40000000</v>
      </c>
      <c r="D24" s="396"/>
      <c r="E24" s="396"/>
      <c r="F24" s="396"/>
      <c r="G24" s="396"/>
      <c r="H24" s="396"/>
      <c r="I24" s="396"/>
      <c r="J24" s="396"/>
      <c r="K24" s="396"/>
      <c r="L24" s="396"/>
    </row>
    <row r="25" spans="1:12" x14ac:dyDescent="0.15">
      <c r="A25" s="396" t="s">
        <v>975</v>
      </c>
      <c r="B25" s="396"/>
      <c r="C25" s="396">
        <f>C12*10000</f>
        <v>36000000</v>
      </c>
      <c r="D25" s="396"/>
      <c r="E25" s="396"/>
      <c r="F25" s="396"/>
      <c r="G25" s="396"/>
      <c r="H25" s="396"/>
      <c r="I25" s="396"/>
      <c r="J25" s="396"/>
      <c r="K25" s="396"/>
      <c r="L25" s="396"/>
    </row>
    <row r="26" spans="1:12" x14ac:dyDescent="0.15">
      <c r="A26" s="396" t="s">
        <v>976</v>
      </c>
      <c r="B26" s="396"/>
      <c r="C26" s="396">
        <f>C13*10000</f>
        <v>20000000</v>
      </c>
      <c r="D26" s="396"/>
      <c r="E26" s="396"/>
      <c r="F26" s="396"/>
      <c r="G26" s="396"/>
      <c r="H26" s="396"/>
      <c r="I26" s="396"/>
      <c r="J26" s="396"/>
      <c r="K26" s="396"/>
      <c r="L26" s="396"/>
    </row>
    <row r="27" spans="1:12" x14ac:dyDescent="0.15">
      <c r="A27" s="396" t="s">
        <v>977</v>
      </c>
      <c r="B27" s="396"/>
      <c r="C27" s="401">
        <f>C14*10000</f>
        <v>10000000</v>
      </c>
      <c r="D27" s="396"/>
      <c r="E27" s="396"/>
      <c r="F27" s="396"/>
      <c r="G27" s="396"/>
      <c r="H27" s="396"/>
      <c r="I27" s="396"/>
      <c r="J27" s="396"/>
      <c r="K27" s="396"/>
      <c r="L27" s="396"/>
    </row>
    <row r="28" spans="1:12" x14ac:dyDescent="0.15">
      <c r="A28" s="396" t="s">
        <v>978</v>
      </c>
      <c r="B28" s="396"/>
      <c r="C28" s="396">
        <f>SUM(C24:C27)</f>
        <v>106000000</v>
      </c>
      <c r="D28" s="396"/>
      <c r="E28" s="396" t="s">
        <v>540</v>
      </c>
      <c r="F28" s="396">
        <v>10600</v>
      </c>
      <c r="G28" s="396" t="s">
        <v>979</v>
      </c>
      <c r="H28" s="396">
        <f>F28*10000</f>
        <v>106000000</v>
      </c>
      <c r="I28" s="396"/>
      <c r="J28" s="396"/>
      <c r="K28" s="396"/>
      <c r="L28" s="396"/>
    </row>
    <row r="29" spans="1:12" x14ac:dyDescent="0.15">
      <c r="A29" s="396"/>
      <c r="B29" s="396"/>
      <c r="C29" s="396"/>
      <c r="D29" s="396"/>
      <c r="E29" s="396"/>
      <c r="F29" s="396"/>
      <c r="G29" s="396"/>
      <c r="H29" s="396"/>
      <c r="I29" s="396"/>
      <c r="J29" s="396"/>
      <c r="K29" s="396"/>
      <c r="L29" s="396"/>
    </row>
    <row r="30" spans="1:12" x14ac:dyDescent="0.15">
      <c r="A30" s="396" t="s">
        <v>980</v>
      </c>
      <c r="B30" s="396"/>
      <c r="C30" s="396"/>
      <c r="D30" s="396"/>
      <c r="E30" s="396">
        <f>C18+D15</f>
        <v>16150</v>
      </c>
      <c r="F30" s="396"/>
      <c r="G30" s="396"/>
      <c r="H30" s="396" t="s">
        <v>981</v>
      </c>
      <c r="I30" s="396"/>
      <c r="J30" s="396"/>
      <c r="K30" s="396"/>
      <c r="L30" s="396"/>
    </row>
    <row r="31" spans="1:12" x14ac:dyDescent="0.15">
      <c r="A31" s="396"/>
      <c r="B31" s="396"/>
      <c r="C31" s="396"/>
      <c r="D31" s="396"/>
      <c r="E31" s="396"/>
      <c r="F31" s="396"/>
      <c r="G31" s="396"/>
      <c r="H31" s="396"/>
      <c r="I31" s="396"/>
      <c r="J31" s="396"/>
      <c r="K31" s="396"/>
      <c r="L31" s="396"/>
    </row>
    <row r="32" spans="1:12" x14ac:dyDescent="0.15">
      <c r="A32" s="396"/>
      <c r="B32" s="396"/>
      <c r="C32" s="396"/>
      <c r="D32" s="396"/>
      <c r="E32" s="396"/>
      <c r="F32" s="396"/>
      <c r="G32" s="396"/>
      <c r="H32" s="396"/>
      <c r="I32" s="396"/>
      <c r="J32" s="396"/>
      <c r="K32" s="396"/>
      <c r="L32" s="396"/>
    </row>
    <row r="33" spans="1:12" ht="14" x14ac:dyDescent="0.15">
      <c r="A33" s="400" t="s">
        <v>982</v>
      </c>
      <c r="B33" s="396"/>
      <c r="C33" s="396"/>
      <c r="D33" s="396"/>
      <c r="E33" s="396"/>
      <c r="F33" s="396"/>
      <c r="G33" s="396"/>
      <c r="H33" s="396"/>
      <c r="I33" s="396"/>
      <c r="J33" s="396"/>
      <c r="K33" s="396"/>
      <c r="L33" s="396"/>
    </row>
    <row r="34" spans="1:12" x14ac:dyDescent="0.15">
      <c r="A34" s="396"/>
      <c r="B34" s="396"/>
      <c r="C34" s="396"/>
      <c r="D34" s="396"/>
      <c r="E34" s="396"/>
      <c r="F34" s="396"/>
      <c r="G34" s="396"/>
      <c r="H34" s="396">
        <v>106000000</v>
      </c>
      <c r="I34" s="396"/>
      <c r="J34" s="396"/>
      <c r="K34" s="396"/>
      <c r="L34" s="396"/>
    </row>
    <row r="35" spans="1:12" x14ac:dyDescent="0.15">
      <c r="A35" s="396" t="s">
        <v>983</v>
      </c>
      <c r="B35" s="59"/>
      <c r="C35" s="59"/>
      <c r="D35" s="59"/>
      <c r="E35" s="406">
        <f>C28/(35000-E30)</f>
        <v>5623.3421750663128</v>
      </c>
      <c r="F35" s="59" t="s">
        <v>372</v>
      </c>
      <c r="G35" s="396"/>
      <c r="H35" s="396" t="s">
        <v>984</v>
      </c>
      <c r="I35" s="396"/>
      <c r="J35" s="396"/>
      <c r="K35" s="396"/>
      <c r="L35" s="396"/>
    </row>
    <row r="36" spans="1:12" x14ac:dyDescent="0.15">
      <c r="A36" s="59"/>
      <c r="B36" s="59"/>
      <c r="C36" s="59"/>
      <c r="D36" s="59"/>
      <c r="E36" s="59"/>
      <c r="F36" s="59"/>
      <c r="G36" s="396"/>
      <c r="H36" s="396"/>
      <c r="I36" s="396"/>
      <c r="J36" s="396"/>
      <c r="K36" s="396"/>
      <c r="L36" s="396"/>
    </row>
    <row r="37" spans="1:12" x14ac:dyDescent="0.15">
      <c r="A37" s="59" t="s">
        <v>985</v>
      </c>
      <c r="B37" s="59"/>
      <c r="C37" s="59"/>
      <c r="D37" s="59"/>
      <c r="E37" s="406">
        <f>E35*35000</f>
        <v>196816976.12732095</v>
      </c>
      <c r="F37" s="59" t="s">
        <v>276</v>
      </c>
      <c r="G37" s="396"/>
      <c r="H37" s="396"/>
      <c r="I37" s="396"/>
      <c r="J37" s="396"/>
      <c r="K37" s="396"/>
      <c r="L37" s="396"/>
    </row>
    <row r="38" spans="1:12" x14ac:dyDescent="0.15">
      <c r="A38" s="396"/>
      <c r="B38" s="396"/>
      <c r="C38" s="396"/>
      <c r="D38" s="396"/>
      <c r="E38" s="396"/>
      <c r="F38" s="396"/>
      <c r="G38" s="396"/>
      <c r="H38" s="396"/>
      <c r="I38" s="396"/>
      <c r="J38" s="396"/>
      <c r="K38" s="396"/>
      <c r="L38" s="396"/>
    </row>
    <row r="39" spans="1:12" x14ac:dyDescent="0.15">
      <c r="A39" s="396"/>
      <c r="B39" s="396"/>
      <c r="C39" s="396"/>
      <c r="D39" s="396"/>
      <c r="E39" s="396"/>
      <c r="F39" s="396"/>
      <c r="G39" s="396"/>
      <c r="H39" s="396"/>
      <c r="I39" s="396"/>
      <c r="J39" s="396"/>
      <c r="K39" s="396"/>
      <c r="L39" s="396"/>
    </row>
    <row r="40" spans="1:12" ht="14" x14ac:dyDescent="0.15">
      <c r="A40" s="400" t="s">
        <v>986</v>
      </c>
      <c r="B40" s="396"/>
      <c r="C40" s="396"/>
      <c r="D40" s="396"/>
      <c r="E40" s="396"/>
      <c r="F40" s="396"/>
      <c r="G40" s="396"/>
      <c r="H40" s="396"/>
      <c r="I40" s="396"/>
      <c r="J40" s="396"/>
      <c r="K40" s="396"/>
      <c r="L40" s="396"/>
    </row>
    <row r="41" spans="1:12" ht="14" x14ac:dyDescent="0.15">
      <c r="A41" s="400" t="s">
        <v>987</v>
      </c>
      <c r="B41" s="396"/>
      <c r="C41" s="396"/>
      <c r="D41" s="396"/>
      <c r="E41" s="396"/>
      <c r="F41" s="396"/>
      <c r="G41" s="396"/>
      <c r="H41" s="396"/>
      <c r="I41" s="396"/>
      <c r="J41" s="396"/>
      <c r="K41" s="396"/>
      <c r="L41" s="396"/>
    </row>
    <row r="42" spans="1:12" x14ac:dyDescent="0.15">
      <c r="A42" s="396"/>
      <c r="B42" s="396"/>
      <c r="C42" s="396"/>
      <c r="D42" s="396"/>
      <c r="E42" s="396"/>
      <c r="F42" s="396"/>
      <c r="G42" s="396"/>
      <c r="H42" s="396"/>
      <c r="I42" s="396"/>
      <c r="J42" s="396"/>
      <c r="K42" s="396"/>
      <c r="L42" s="396"/>
    </row>
    <row r="43" spans="1:12" x14ac:dyDescent="0.15">
      <c r="A43" s="396" t="s">
        <v>988</v>
      </c>
      <c r="B43" s="396"/>
      <c r="C43" s="396"/>
      <c r="D43" s="396"/>
      <c r="E43" s="396"/>
      <c r="F43" s="396"/>
      <c r="G43" s="396"/>
      <c r="H43" s="396"/>
      <c r="I43" s="396"/>
      <c r="J43" s="396"/>
      <c r="K43" s="396"/>
      <c r="L43" s="396"/>
    </row>
    <row r="44" spans="1:12" x14ac:dyDescent="0.15">
      <c r="A44" s="396"/>
      <c r="B44" s="396"/>
      <c r="C44" s="396"/>
      <c r="D44" s="396"/>
      <c r="E44" s="396"/>
      <c r="F44" s="413"/>
      <c r="G44" s="413"/>
      <c r="H44" s="413"/>
      <c r="I44" s="413"/>
      <c r="J44" s="413"/>
      <c r="K44" s="413"/>
      <c r="L44" s="413"/>
    </row>
    <row r="45" spans="1:12" x14ac:dyDescent="0.15">
      <c r="A45" s="401" t="s">
        <v>989</v>
      </c>
      <c r="B45" s="396"/>
      <c r="C45" s="396"/>
      <c r="D45" s="396"/>
      <c r="E45" s="396"/>
      <c r="F45" s="413"/>
      <c r="G45" s="413"/>
      <c r="H45" s="413"/>
      <c r="I45" s="413"/>
      <c r="J45" s="413"/>
      <c r="K45" s="413"/>
      <c r="L45" s="413"/>
    </row>
    <row r="46" spans="1:12" x14ac:dyDescent="0.15">
      <c r="A46" s="396"/>
      <c r="B46" s="396"/>
      <c r="C46" s="396"/>
      <c r="D46" s="396"/>
      <c r="E46" s="396"/>
      <c r="F46" s="396"/>
      <c r="G46" s="396"/>
      <c r="H46" s="396"/>
      <c r="I46" s="396"/>
      <c r="J46" s="396"/>
      <c r="K46" s="396"/>
      <c r="L46" s="396"/>
    </row>
    <row r="47" spans="1:12" x14ac:dyDescent="0.15">
      <c r="A47" s="396" t="s">
        <v>990</v>
      </c>
      <c r="B47" s="396"/>
      <c r="C47" s="396"/>
      <c r="D47" s="396"/>
      <c r="E47" s="396">
        <f>35000-E30</f>
        <v>18850</v>
      </c>
      <c r="F47" s="396" t="s">
        <v>276</v>
      </c>
      <c r="G47" s="396"/>
      <c r="H47" s="396"/>
      <c r="I47" s="396"/>
      <c r="J47" s="396"/>
      <c r="K47" s="396"/>
      <c r="L47" s="396"/>
    </row>
    <row r="48" spans="1:12" x14ac:dyDescent="0.15">
      <c r="A48" s="396"/>
      <c r="B48" s="396"/>
      <c r="C48" s="396"/>
      <c r="D48" s="396"/>
      <c r="E48" s="396"/>
      <c r="F48" s="396"/>
      <c r="G48" s="396"/>
      <c r="H48" s="396"/>
      <c r="I48" s="396"/>
      <c r="J48" s="396"/>
      <c r="K48" s="396"/>
      <c r="L48" s="396"/>
    </row>
    <row r="49" spans="1:12" x14ac:dyDescent="0.15">
      <c r="A49" s="396" t="s">
        <v>991</v>
      </c>
      <c r="B49" s="396"/>
      <c r="C49" s="396"/>
      <c r="D49" s="396"/>
      <c r="E49" s="396">
        <f>E47*10000</f>
        <v>188500000</v>
      </c>
      <c r="F49" s="396" t="s">
        <v>276</v>
      </c>
      <c r="G49" s="396"/>
      <c r="H49" s="396"/>
      <c r="I49" s="396"/>
      <c r="J49" s="396"/>
      <c r="K49" s="396"/>
      <c r="L49" s="396"/>
    </row>
    <row r="50" spans="1:12" x14ac:dyDescent="0.15">
      <c r="A50" s="396"/>
      <c r="B50" s="396"/>
      <c r="C50" s="396"/>
      <c r="D50" s="396"/>
      <c r="E50" s="396"/>
      <c r="F50" s="396"/>
      <c r="G50" s="396"/>
      <c r="H50" s="396"/>
      <c r="I50" s="396"/>
      <c r="J50" s="396"/>
      <c r="K50" s="396"/>
      <c r="L50" s="396"/>
    </row>
    <row r="51" spans="1:12" x14ac:dyDescent="0.15">
      <c r="A51" s="396"/>
      <c r="B51" s="396"/>
      <c r="C51" s="396"/>
      <c r="D51" s="396"/>
      <c r="E51" s="396"/>
      <c r="F51" s="396"/>
      <c r="G51" s="396"/>
      <c r="H51" s="396"/>
      <c r="I51" s="396"/>
      <c r="J51" s="396"/>
      <c r="K51" s="396"/>
      <c r="L51" s="396"/>
    </row>
    <row r="52" spans="1:12" x14ac:dyDescent="0.15">
      <c r="A52" s="401" t="s">
        <v>992</v>
      </c>
      <c r="B52" s="396"/>
      <c r="C52" s="396"/>
      <c r="D52" s="396"/>
      <c r="E52" s="396"/>
      <c r="F52" s="396"/>
      <c r="G52" s="396"/>
      <c r="H52" s="396"/>
      <c r="I52" s="396"/>
      <c r="J52" s="396"/>
      <c r="K52" s="396"/>
      <c r="L52" s="396"/>
    </row>
    <row r="53" spans="1:12" x14ac:dyDescent="0.15">
      <c r="A53" s="396"/>
      <c r="B53" s="396"/>
      <c r="C53" s="396"/>
      <c r="D53" s="396"/>
      <c r="E53" s="396"/>
      <c r="F53" s="396"/>
      <c r="G53" s="396"/>
      <c r="H53" s="396"/>
      <c r="I53" s="396"/>
      <c r="J53" s="396"/>
      <c r="K53" s="396"/>
      <c r="L53" s="396"/>
    </row>
    <row r="54" spans="1:12" x14ac:dyDescent="0.15">
      <c r="A54" s="396" t="s">
        <v>993</v>
      </c>
      <c r="B54" s="396"/>
      <c r="C54" s="396"/>
      <c r="D54" s="396"/>
      <c r="E54" s="396">
        <v>38000</v>
      </c>
      <c r="F54" s="396"/>
      <c r="G54" s="396"/>
      <c r="H54" s="396"/>
      <c r="I54" s="396"/>
      <c r="J54" s="396"/>
      <c r="K54" s="396"/>
      <c r="L54" s="396"/>
    </row>
    <row r="55" spans="1:12" x14ac:dyDescent="0.15">
      <c r="A55" s="396" t="s">
        <v>994</v>
      </c>
      <c r="B55" s="396"/>
      <c r="C55" s="396"/>
      <c r="D55" s="396"/>
      <c r="E55" s="396">
        <f>E54*0.05</f>
        <v>1900</v>
      </c>
      <c r="F55" s="396"/>
      <c r="G55" s="396"/>
      <c r="H55" s="396"/>
      <c r="I55" s="396"/>
      <c r="J55" s="396"/>
      <c r="K55" s="396"/>
      <c r="L55" s="396"/>
    </row>
    <row r="56" spans="1:12" x14ac:dyDescent="0.15">
      <c r="A56" s="396" t="s">
        <v>995</v>
      </c>
      <c r="B56" s="396"/>
      <c r="C56" s="396"/>
      <c r="D56" s="396"/>
      <c r="E56" s="396">
        <f>D15+E55</f>
        <v>16300</v>
      </c>
      <c r="F56" s="396"/>
      <c r="G56" s="396"/>
      <c r="H56" s="396"/>
      <c r="I56" s="396"/>
      <c r="J56" s="396"/>
      <c r="K56" s="396"/>
      <c r="L56" s="396"/>
    </row>
    <row r="57" spans="1:12" x14ac:dyDescent="0.15">
      <c r="A57" s="396"/>
      <c r="B57" s="396"/>
      <c r="C57" s="396"/>
      <c r="D57" s="396"/>
      <c r="E57" s="396"/>
      <c r="F57" s="396"/>
      <c r="G57" s="396"/>
      <c r="H57" s="396"/>
      <c r="I57" s="396"/>
      <c r="J57" s="396"/>
      <c r="K57" s="396"/>
      <c r="L57" s="396"/>
    </row>
    <row r="58" spans="1:12" x14ac:dyDescent="0.15">
      <c r="A58" s="396" t="s">
        <v>996</v>
      </c>
      <c r="B58" s="396"/>
      <c r="C58" s="396"/>
      <c r="D58" s="396"/>
      <c r="E58" s="396">
        <f>E54-E56</f>
        <v>21700</v>
      </c>
      <c r="F58" s="396" t="s">
        <v>276</v>
      </c>
      <c r="G58" s="396"/>
      <c r="H58" s="396"/>
      <c r="I58" s="396"/>
      <c r="J58" s="396"/>
      <c r="K58" s="396"/>
      <c r="L58" s="396"/>
    </row>
    <row r="59" spans="1:12" x14ac:dyDescent="0.15">
      <c r="A59" s="396"/>
      <c r="B59" s="396"/>
      <c r="C59" s="396"/>
      <c r="D59" s="396"/>
      <c r="E59" s="396"/>
      <c r="F59" s="396"/>
      <c r="G59" s="396"/>
      <c r="H59" s="396"/>
      <c r="I59" s="396"/>
      <c r="J59" s="396"/>
      <c r="K59" s="396"/>
      <c r="L59" s="396"/>
    </row>
    <row r="60" spans="1:12" x14ac:dyDescent="0.15">
      <c r="A60" s="396" t="s">
        <v>997</v>
      </c>
      <c r="B60" s="396"/>
      <c r="C60" s="396"/>
      <c r="D60" s="396"/>
      <c r="E60" s="396">
        <f>E58*8000</f>
        <v>173600000</v>
      </c>
      <c r="F60" s="396" t="s">
        <v>276</v>
      </c>
      <c r="G60" s="396"/>
      <c r="H60" s="396"/>
      <c r="I60" s="396"/>
      <c r="J60" s="396"/>
      <c r="K60" s="396"/>
      <c r="L60" s="396"/>
    </row>
    <row r="61" spans="1:12" x14ac:dyDescent="0.15">
      <c r="A61" s="396"/>
      <c r="B61" s="396"/>
      <c r="C61" s="396"/>
      <c r="D61" s="396"/>
      <c r="E61" s="396"/>
      <c r="F61" s="396"/>
      <c r="G61" s="396"/>
      <c r="H61" s="396"/>
      <c r="I61" s="396"/>
      <c r="J61" s="396"/>
      <c r="K61" s="396"/>
      <c r="L61" s="396"/>
    </row>
    <row r="62" spans="1:12" x14ac:dyDescent="0.15">
      <c r="A62" s="396" t="s">
        <v>998</v>
      </c>
      <c r="B62" s="396"/>
      <c r="C62" s="396"/>
      <c r="D62" s="396"/>
      <c r="E62" s="396"/>
      <c r="F62" s="396"/>
      <c r="G62" s="396"/>
      <c r="H62" s="396"/>
      <c r="I62" s="396"/>
      <c r="J62" s="396"/>
      <c r="K62" s="396"/>
      <c r="L62" s="396"/>
    </row>
    <row r="63" spans="1:12" x14ac:dyDescent="0.15">
      <c r="A63" s="396"/>
      <c r="B63" s="396"/>
      <c r="C63" s="396"/>
      <c r="D63" s="396"/>
      <c r="E63" s="396"/>
      <c r="F63" s="396"/>
      <c r="G63" s="396"/>
      <c r="H63" s="396"/>
      <c r="I63" s="396"/>
      <c r="J63" s="396"/>
      <c r="K63" s="396"/>
      <c r="L63" s="396"/>
    </row>
    <row r="64" spans="1:12" x14ac:dyDescent="0.15">
      <c r="A64" s="396"/>
      <c r="B64" s="396"/>
      <c r="C64" s="396"/>
      <c r="D64" s="396"/>
      <c r="E64" s="396"/>
      <c r="F64" s="396"/>
      <c r="G64" s="396"/>
      <c r="H64" s="396"/>
      <c r="I64" s="396"/>
      <c r="J64" s="396"/>
      <c r="K64" s="396"/>
      <c r="L64" s="396"/>
    </row>
    <row r="65" spans="1:12" x14ac:dyDescent="0.15">
      <c r="A65" s="396"/>
      <c r="B65" s="396"/>
      <c r="C65" s="396"/>
      <c r="D65" s="396"/>
      <c r="E65" s="396"/>
      <c r="F65" s="396"/>
      <c r="G65" s="396"/>
      <c r="H65" s="396"/>
      <c r="I65" s="396"/>
      <c r="J65" s="396"/>
      <c r="K65" s="396"/>
      <c r="L65" s="396"/>
    </row>
    <row r="66" spans="1:12" ht="14" x14ac:dyDescent="0.15">
      <c r="A66" s="400" t="s">
        <v>999</v>
      </c>
      <c r="B66" s="396"/>
      <c r="C66" s="396"/>
      <c r="D66" s="396"/>
      <c r="E66" s="396"/>
      <c r="F66" s="396"/>
      <c r="G66" s="396"/>
      <c r="H66" s="396"/>
      <c r="I66" s="396"/>
      <c r="J66" s="396"/>
      <c r="K66" s="396"/>
      <c r="L66" s="396"/>
    </row>
    <row r="67" spans="1:12" ht="14" x14ac:dyDescent="0.15">
      <c r="A67" s="400" t="s">
        <v>1000</v>
      </c>
      <c r="B67" s="396"/>
      <c r="C67" s="396"/>
      <c r="D67" s="396"/>
      <c r="E67" s="396"/>
      <c r="F67" s="396"/>
      <c r="G67" s="396"/>
      <c r="H67" s="396"/>
      <c r="I67" s="396"/>
      <c r="J67" s="396"/>
      <c r="K67" s="396"/>
      <c r="L67" s="396"/>
    </row>
    <row r="68" spans="1:12" x14ac:dyDescent="0.15">
      <c r="A68" s="396"/>
      <c r="B68" s="396"/>
      <c r="C68" s="396"/>
      <c r="D68" s="396" t="s">
        <v>1001</v>
      </c>
      <c r="E68" s="396"/>
      <c r="F68" s="396"/>
      <c r="G68" s="396"/>
      <c r="H68" s="396"/>
      <c r="I68" s="396"/>
      <c r="J68" s="396"/>
      <c r="K68" s="396"/>
      <c r="L68" s="396"/>
    </row>
    <row r="69" spans="1:12" x14ac:dyDescent="0.15">
      <c r="A69" s="405" t="s">
        <v>1002</v>
      </c>
      <c r="B69" s="405"/>
      <c r="C69" s="405"/>
      <c r="D69" s="405"/>
      <c r="E69" s="405"/>
      <c r="F69" s="405"/>
      <c r="G69" s="405"/>
      <c r="H69" s="405"/>
      <c r="I69" s="405"/>
      <c r="J69" s="405"/>
      <c r="K69" s="405"/>
      <c r="L69" s="405"/>
    </row>
    <row r="70" spans="1:12" x14ac:dyDescent="0.15">
      <c r="A70" s="405" t="s">
        <v>1003</v>
      </c>
      <c r="B70" s="405"/>
      <c r="C70" s="405"/>
      <c r="D70" s="405"/>
      <c r="E70" s="405"/>
      <c r="F70" s="405"/>
      <c r="G70" s="405"/>
      <c r="H70" s="405"/>
      <c r="I70" s="405"/>
      <c r="J70" s="405"/>
      <c r="K70" s="405"/>
      <c r="L70" s="405"/>
    </row>
    <row r="71" spans="1:12" x14ac:dyDescent="0.15">
      <c r="A71" s="405" t="s">
        <v>1004</v>
      </c>
      <c r="B71" s="405"/>
      <c r="C71" s="405"/>
      <c r="D71" s="405"/>
      <c r="E71" s="405"/>
      <c r="F71" s="405"/>
      <c r="G71" s="405"/>
      <c r="H71" s="405"/>
      <c r="I71" s="405"/>
      <c r="J71" s="405"/>
      <c r="K71" s="405"/>
      <c r="L71" s="405"/>
    </row>
    <row r="72" spans="1:12" x14ac:dyDescent="0.15">
      <c r="A72" s="405" t="s">
        <v>1005</v>
      </c>
      <c r="B72" s="405"/>
      <c r="C72" s="405"/>
      <c r="D72" s="405"/>
      <c r="E72" s="405"/>
      <c r="F72" s="405"/>
      <c r="G72" s="405"/>
      <c r="H72" s="405"/>
      <c r="I72" s="405"/>
      <c r="J72" s="405"/>
      <c r="K72" s="405"/>
      <c r="L72" s="405"/>
    </row>
    <row r="73" spans="1:12" x14ac:dyDescent="0.15">
      <c r="A73" s="405" t="s">
        <v>1006</v>
      </c>
      <c r="B73" s="405"/>
      <c r="C73" s="405"/>
      <c r="D73" s="405"/>
      <c r="E73" s="405"/>
      <c r="F73" s="405"/>
      <c r="G73" s="396">
        <f>18000000/2000</f>
        <v>9000</v>
      </c>
      <c r="H73" s="405"/>
      <c r="I73" s="405"/>
      <c r="J73" s="405"/>
      <c r="K73" s="405"/>
      <c r="L73" s="405"/>
    </row>
    <row r="74" spans="1:12" x14ac:dyDescent="0.15">
      <c r="A74" s="396" t="s">
        <v>1007</v>
      </c>
      <c r="B74" s="396"/>
      <c r="C74" s="396"/>
      <c r="D74" s="396"/>
      <c r="E74" s="396">
        <f>G73+9600+14400</f>
        <v>33000</v>
      </c>
      <c r="F74" s="396"/>
      <c r="G74" s="396"/>
      <c r="H74" s="396"/>
      <c r="I74" s="396"/>
      <c r="J74" s="396"/>
      <c r="K74" s="396"/>
      <c r="L74" s="396"/>
    </row>
    <row r="75" spans="1:12" x14ac:dyDescent="0.15">
      <c r="A75" s="396"/>
      <c r="B75" s="396"/>
      <c r="C75" s="396"/>
      <c r="D75" s="396"/>
      <c r="E75" s="396"/>
      <c r="F75" s="396"/>
      <c r="G75" s="396"/>
      <c r="H75" s="396"/>
      <c r="I75" s="396"/>
      <c r="J75" s="396"/>
      <c r="K75" s="396"/>
      <c r="L75" s="396"/>
    </row>
    <row r="76" spans="1:12" x14ac:dyDescent="0.15">
      <c r="A76" s="396" t="s">
        <v>1008</v>
      </c>
      <c r="B76" s="396"/>
      <c r="C76" s="396"/>
      <c r="D76" s="396"/>
      <c r="E76" s="396">
        <f>E74-14400</f>
        <v>18600</v>
      </c>
      <c r="F76" s="396" t="s">
        <v>276</v>
      </c>
      <c r="G76" s="396"/>
      <c r="H76" s="396"/>
      <c r="I76" s="396"/>
      <c r="J76" s="396"/>
      <c r="K76" s="396"/>
      <c r="L76" s="396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baseColWidth="10" defaultRowHeight="13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2"/>
  <sheetViews>
    <sheetView zoomScale="110" zoomScaleNormal="110" workbookViewId="0">
      <selection activeCell="G12" sqref="G12"/>
    </sheetView>
  </sheetViews>
  <sheetFormatPr baseColWidth="10" defaultColWidth="11.5" defaultRowHeight="16" x14ac:dyDescent="0.2"/>
  <cols>
    <col min="1" max="1" width="49.5" style="61" customWidth="1"/>
    <col min="2" max="2" width="17.1640625" style="61" bestFit="1" customWidth="1"/>
    <col min="3" max="3" width="20.1640625" style="61" customWidth="1"/>
    <col min="4" max="4" width="16.6640625" style="61" bestFit="1" customWidth="1"/>
    <col min="5" max="5" width="16.6640625" style="61" customWidth="1"/>
    <col min="6" max="6" width="17.33203125" style="61" customWidth="1"/>
    <col min="7" max="7" width="16.83203125" style="61" bestFit="1" customWidth="1"/>
    <col min="8" max="9" width="16.6640625" style="61" bestFit="1" customWidth="1"/>
    <col min="10" max="16384" width="11.5" style="61"/>
  </cols>
  <sheetData>
    <row r="1" spans="1:6" x14ac:dyDescent="0.2">
      <c r="A1" s="65" t="s">
        <v>18</v>
      </c>
      <c r="B1" s="65"/>
    </row>
    <row r="2" spans="1:6" x14ac:dyDescent="0.2">
      <c r="A2" s="65" t="s">
        <v>19</v>
      </c>
      <c r="B2" s="65"/>
      <c r="D2" s="61" t="s">
        <v>57</v>
      </c>
    </row>
    <row r="4" spans="1:6" x14ac:dyDescent="0.2">
      <c r="A4" s="77" t="s">
        <v>20</v>
      </c>
      <c r="B4" s="68" t="s">
        <v>21</v>
      </c>
      <c r="C4" s="68" t="s">
        <v>22</v>
      </c>
      <c r="D4" s="68" t="s">
        <v>4</v>
      </c>
    </row>
    <row r="5" spans="1:6" x14ac:dyDescent="0.2">
      <c r="A5" s="67" t="s">
        <v>5</v>
      </c>
      <c r="B5" s="69">
        <v>700</v>
      </c>
      <c r="C5" s="67">
        <f>D5/B5</f>
        <v>490</v>
      </c>
      <c r="D5" s="67">
        <v>343000</v>
      </c>
      <c r="E5" s="61" t="s">
        <v>113</v>
      </c>
    </row>
    <row r="6" spans="1:6" x14ac:dyDescent="0.2">
      <c r="A6" s="67"/>
      <c r="B6" s="69"/>
      <c r="C6" s="67"/>
      <c r="D6" s="67"/>
      <c r="F6" s="61" t="s">
        <v>68</v>
      </c>
    </row>
    <row r="7" spans="1:6" x14ac:dyDescent="0.2">
      <c r="A7" s="67" t="s">
        <v>6</v>
      </c>
      <c r="B7" s="67">
        <v>3500</v>
      </c>
      <c r="C7" s="78">
        <v>492</v>
      </c>
      <c r="D7" s="67">
        <f>B7*C7</f>
        <v>1722000</v>
      </c>
    </row>
    <row r="8" spans="1:6" ht="15.75" customHeight="1" x14ac:dyDescent="0.2">
      <c r="A8" s="67" t="s">
        <v>7</v>
      </c>
      <c r="B8" s="67"/>
      <c r="C8" s="78">
        <f>D8/B7</f>
        <v>10</v>
      </c>
      <c r="D8" s="67">
        <v>35000</v>
      </c>
    </row>
    <row r="9" spans="1:6" x14ac:dyDescent="0.2">
      <c r="A9" s="79" t="s">
        <v>23</v>
      </c>
      <c r="B9" s="63">
        <v>3500</v>
      </c>
      <c r="C9" s="64">
        <f>D9/B9</f>
        <v>502</v>
      </c>
      <c r="D9" s="63">
        <f>SUM(D7:D8)</f>
        <v>1757000</v>
      </c>
      <c r="E9" s="61" t="s">
        <v>114</v>
      </c>
    </row>
    <row r="11" spans="1:6" x14ac:dyDescent="0.2">
      <c r="A11" s="65" t="s">
        <v>24</v>
      </c>
      <c r="D11" s="60"/>
    </row>
    <row r="12" spans="1:6" x14ac:dyDescent="0.2">
      <c r="A12" s="67"/>
      <c r="B12" s="68" t="s">
        <v>21</v>
      </c>
      <c r="C12" s="68" t="s">
        <v>22</v>
      </c>
      <c r="D12" s="68" t="s">
        <v>4</v>
      </c>
    </row>
    <row r="13" spans="1:6" x14ac:dyDescent="0.2">
      <c r="A13" s="63" t="s">
        <v>25</v>
      </c>
      <c r="B13" s="63">
        <v>4000</v>
      </c>
      <c r="C13" s="80">
        <f>(D5+D9)/(B5+B9)</f>
        <v>500</v>
      </c>
      <c r="D13" s="63">
        <f>B13*C13</f>
        <v>2000000</v>
      </c>
      <c r="E13" s="61" t="s">
        <v>69</v>
      </c>
    </row>
    <row r="14" spans="1:6" x14ac:dyDescent="0.2">
      <c r="A14" s="63" t="s">
        <v>13</v>
      </c>
      <c r="B14" s="63">
        <f>B5+B9-B13</f>
        <v>200</v>
      </c>
      <c r="C14" s="80">
        <f>C13</f>
        <v>500</v>
      </c>
      <c r="D14" s="63">
        <f>B14*C14</f>
        <v>100000</v>
      </c>
      <c r="E14" s="61" t="s">
        <v>70</v>
      </c>
    </row>
    <row r="18" spans="1:6" x14ac:dyDescent="0.2">
      <c r="A18" s="65" t="s">
        <v>26</v>
      </c>
    </row>
    <row r="20" spans="1:6" x14ac:dyDescent="0.2">
      <c r="A20" s="61" t="s">
        <v>27</v>
      </c>
      <c r="D20" s="61">
        <f>D13</f>
        <v>2000000</v>
      </c>
    </row>
    <row r="21" spans="1:6" x14ac:dyDescent="0.2">
      <c r="A21" s="61" t="s">
        <v>28</v>
      </c>
      <c r="D21" s="61">
        <f>1500*1000</f>
        <v>1500000</v>
      </c>
      <c r="E21" s="61" t="s">
        <v>71</v>
      </c>
    </row>
    <row r="22" spans="1:6" x14ac:dyDescent="0.2">
      <c r="A22" s="61" t="s">
        <v>29</v>
      </c>
      <c r="D22" s="66">
        <v>600000</v>
      </c>
    </row>
    <row r="23" spans="1:6" x14ac:dyDescent="0.2">
      <c r="C23" s="62" t="s">
        <v>30</v>
      </c>
      <c r="D23" s="72">
        <f>SUM(D20:D22)</f>
        <v>4100000</v>
      </c>
      <c r="E23" s="61" t="s">
        <v>72</v>
      </c>
    </row>
    <row r="24" spans="1:6" x14ac:dyDescent="0.2">
      <c r="A24" s="61" t="s">
        <v>31</v>
      </c>
      <c r="D24" s="61">
        <v>1000</v>
      </c>
    </row>
    <row r="25" spans="1:6" x14ac:dyDescent="0.2">
      <c r="A25" s="61" t="s">
        <v>32</v>
      </c>
      <c r="C25" s="72"/>
      <c r="D25" s="72">
        <f>D23/D24</f>
        <v>4100</v>
      </c>
      <c r="E25" s="61" t="s">
        <v>72</v>
      </c>
    </row>
    <row r="27" spans="1:6" s="71" customFormat="1" x14ac:dyDescent="0.2">
      <c r="A27" s="75" t="s">
        <v>33</v>
      </c>
    </row>
    <row r="28" spans="1:6" s="71" customFormat="1" x14ac:dyDescent="0.2">
      <c r="B28" s="74" t="s">
        <v>2</v>
      </c>
      <c r="C28" s="74" t="s">
        <v>34</v>
      </c>
      <c r="D28" s="74" t="s">
        <v>4</v>
      </c>
      <c r="F28" s="76"/>
    </row>
    <row r="29" spans="1:6" x14ac:dyDescent="0.2">
      <c r="A29" s="73"/>
    </row>
    <row r="30" spans="1:6" s="71" customFormat="1" x14ac:dyDescent="0.2">
      <c r="A30" s="67" t="s">
        <v>5</v>
      </c>
      <c r="B30" s="69">
        <v>200</v>
      </c>
      <c r="C30" s="70">
        <f>D30/B30</f>
        <v>3500</v>
      </c>
      <c r="D30" s="67">
        <v>700000</v>
      </c>
    </row>
    <row r="31" spans="1:6" x14ac:dyDescent="0.2">
      <c r="A31" s="67" t="s">
        <v>35</v>
      </c>
      <c r="B31" s="67">
        <f>D24</f>
        <v>1000</v>
      </c>
      <c r="C31" s="67">
        <f>D25</f>
        <v>4100</v>
      </c>
      <c r="D31" s="67">
        <f>D23</f>
        <v>4100000</v>
      </c>
    </row>
    <row r="32" spans="1:6" x14ac:dyDescent="0.2">
      <c r="A32" s="65" t="s">
        <v>36</v>
      </c>
      <c r="B32" s="67"/>
      <c r="C32" s="67"/>
      <c r="D32" s="60"/>
    </row>
    <row r="33" spans="1:5" x14ac:dyDescent="0.2">
      <c r="A33" s="67" t="s">
        <v>37</v>
      </c>
      <c r="B33" s="67">
        <v>800</v>
      </c>
      <c r="C33" s="67">
        <f>(D30+D31)/(B30+B31)</f>
        <v>4000</v>
      </c>
      <c r="D33" s="67">
        <f>B33*C33</f>
        <v>3200000</v>
      </c>
      <c r="E33" s="61" t="s">
        <v>74</v>
      </c>
    </row>
    <row r="34" spans="1:5" x14ac:dyDescent="0.2">
      <c r="A34" s="67" t="s">
        <v>38</v>
      </c>
      <c r="B34" s="61">
        <f>B30+B31-B33</f>
        <v>400</v>
      </c>
      <c r="C34" s="61">
        <f>C33</f>
        <v>4000</v>
      </c>
      <c r="D34" s="67">
        <f>B34*C34</f>
        <v>1600000</v>
      </c>
      <c r="E34" s="61" t="s">
        <v>70</v>
      </c>
    </row>
    <row r="36" spans="1:5" x14ac:dyDescent="0.2">
      <c r="A36" s="61" t="s">
        <v>73</v>
      </c>
    </row>
    <row r="38" spans="1:5" x14ac:dyDescent="0.2">
      <c r="A38" s="65" t="s">
        <v>39</v>
      </c>
    </row>
    <row r="39" spans="1:5" x14ac:dyDescent="0.2">
      <c r="B39" s="61" t="s">
        <v>4</v>
      </c>
      <c r="C39" s="66" t="s">
        <v>40</v>
      </c>
    </row>
    <row r="40" spans="1:5" x14ac:dyDescent="0.2">
      <c r="A40" s="61" t="s">
        <v>16</v>
      </c>
      <c r="B40" s="61">
        <f>B33*5000</f>
        <v>4000000</v>
      </c>
      <c r="C40" s="61">
        <v>5000</v>
      </c>
    </row>
    <row r="41" spans="1:5" x14ac:dyDescent="0.2">
      <c r="A41" s="61" t="s">
        <v>41</v>
      </c>
      <c r="B41" s="61">
        <f>D33</f>
        <v>3200000</v>
      </c>
      <c r="C41" s="65">
        <f>C33</f>
        <v>4000</v>
      </c>
      <c r="D41" s="66"/>
    </row>
    <row r="42" spans="1:5" x14ac:dyDescent="0.2">
      <c r="A42" s="61" t="s">
        <v>42</v>
      </c>
      <c r="B42" s="61">
        <f>B40-B41</f>
        <v>800000</v>
      </c>
      <c r="C42" s="61">
        <f>C40-C41</f>
        <v>1000</v>
      </c>
      <c r="D42" s="71"/>
    </row>
  </sheetData>
  <phoneticPr fontId="0" type="noConversion"/>
  <pageMargins left="0.17" right="0.18" top="1" bottom="1" header="0" footer="0"/>
  <pageSetup paperSize="9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96"/>
  <sheetViews>
    <sheetView topLeftCell="A241" workbookViewId="0">
      <selection activeCell="H75" sqref="H75"/>
    </sheetView>
  </sheetViews>
  <sheetFormatPr baseColWidth="10" defaultColWidth="11.5" defaultRowHeight="15" customHeight="1" x14ac:dyDescent="0.15"/>
  <cols>
    <col min="1" max="2" width="11.5" style="6"/>
    <col min="3" max="3" width="18" style="6" bestFit="1" customWidth="1"/>
    <col min="4" max="4" width="19.1640625" style="6" customWidth="1"/>
    <col min="5" max="5" width="21.1640625" style="6" customWidth="1"/>
    <col min="6" max="6" width="19.6640625" style="6" customWidth="1"/>
    <col min="7" max="7" width="18" style="6" bestFit="1" customWidth="1"/>
    <col min="8" max="8" width="14.5" style="6" bestFit="1" customWidth="1"/>
    <col min="9" max="9" width="16.83203125" style="6" bestFit="1" customWidth="1"/>
    <col min="10" max="10" width="11.5" style="6"/>
    <col min="11" max="11" width="16.33203125" style="6" bestFit="1" customWidth="1"/>
    <col min="12" max="16384" width="11.5" style="6"/>
  </cols>
  <sheetData>
    <row r="1" spans="1:8" ht="15" customHeight="1" x14ac:dyDescent="0.15">
      <c r="C1" s="81" t="s">
        <v>115</v>
      </c>
    </row>
    <row r="2" spans="1:8" ht="15" customHeight="1" x14ac:dyDescent="0.15">
      <c r="C2" s="81"/>
    </row>
    <row r="3" spans="1:8" ht="15" customHeight="1" x14ac:dyDescent="0.15">
      <c r="A3" s="81" t="s">
        <v>20</v>
      </c>
      <c r="D3" s="82" t="s">
        <v>21</v>
      </c>
      <c r="E3" s="82" t="s">
        <v>22</v>
      </c>
      <c r="F3" s="82" t="s">
        <v>4</v>
      </c>
    </row>
    <row r="4" spans="1:8" ht="15" customHeight="1" x14ac:dyDescent="0.15">
      <c r="A4" s="1" t="s">
        <v>5</v>
      </c>
      <c r="B4" s="2"/>
      <c r="C4" s="3"/>
      <c r="D4" s="4">
        <v>0</v>
      </c>
      <c r="E4" s="5">
        <v>0</v>
      </c>
      <c r="F4" s="5">
        <f>D4*E4</f>
        <v>0</v>
      </c>
    </row>
    <row r="5" spans="1:8" ht="15" customHeight="1" x14ac:dyDescent="0.15">
      <c r="A5" s="1" t="s">
        <v>6</v>
      </c>
      <c r="B5" s="2"/>
      <c r="C5" s="3"/>
      <c r="D5" s="5">
        <v>6000</v>
      </c>
      <c r="E5" s="5">
        <v>260</v>
      </c>
      <c r="F5" s="5">
        <f>D5*E5</f>
        <v>1560000</v>
      </c>
    </row>
    <row r="6" spans="1:8" ht="15" customHeight="1" x14ac:dyDescent="0.15">
      <c r="A6" s="1" t="s">
        <v>79</v>
      </c>
      <c r="B6" s="2"/>
      <c r="C6" s="3"/>
      <c r="D6" s="5"/>
      <c r="E6" s="5"/>
      <c r="F6" s="5">
        <v>-60000</v>
      </c>
    </row>
    <row r="7" spans="1:8" ht="15" customHeight="1" x14ac:dyDescent="0.15">
      <c r="A7" s="83" t="s">
        <v>23</v>
      </c>
      <c r="B7" s="2"/>
      <c r="C7" s="3"/>
      <c r="D7" s="5">
        <v>6000</v>
      </c>
      <c r="E7" s="5">
        <f>F7/D7</f>
        <v>250</v>
      </c>
      <c r="F7" s="5">
        <f>SUM(F4:F6)</f>
        <v>1500000</v>
      </c>
    </row>
    <row r="9" spans="1:8" ht="15" customHeight="1" x14ac:dyDescent="0.15">
      <c r="A9" s="81" t="s">
        <v>24</v>
      </c>
      <c r="D9" s="84"/>
    </row>
    <row r="10" spans="1:8" ht="15" customHeight="1" x14ac:dyDescent="0.15">
      <c r="A10" s="81"/>
      <c r="D10" s="84"/>
    </row>
    <row r="11" spans="1:8" ht="15" customHeight="1" x14ac:dyDescent="0.15">
      <c r="D11" s="82" t="s">
        <v>21</v>
      </c>
      <c r="E11" s="82" t="s">
        <v>22</v>
      </c>
      <c r="F11" s="82" t="s">
        <v>4</v>
      </c>
    </row>
    <row r="12" spans="1:8" ht="15" customHeight="1" x14ac:dyDescent="0.15">
      <c r="A12" s="1" t="s">
        <v>25</v>
      </c>
      <c r="B12" s="2"/>
      <c r="C12" s="2"/>
      <c r="D12" s="5">
        <v>5000</v>
      </c>
      <c r="E12" s="5">
        <v>260</v>
      </c>
      <c r="F12" s="5">
        <f>D12*E12</f>
        <v>1300000</v>
      </c>
      <c r="H12" s="6">
        <f>+F7/D7</f>
        <v>250</v>
      </c>
    </row>
    <row r="14" spans="1:8" ht="15" customHeight="1" x14ac:dyDescent="0.15">
      <c r="B14" s="1" t="s">
        <v>43</v>
      </c>
      <c r="C14" s="2"/>
      <c r="D14" s="5">
        <v>3000</v>
      </c>
      <c r="E14" s="5">
        <v>250</v>
      </c>
      <c r="F14" s="128">
        <f>D14*E14</f>
        <v>750000</v>
      </c>
    </row>
    <row r="15" spans="1:8" ht="15" customHeight="1" x14ac:dyDescent="0.15">
      <c r="B15" s="1" t="s">
        <v>44</v>
      </c>
      <c r="C15" s="2"/>
      <c r="D15" s="5">
        <v>2000</v>
      </c>
      <c r="E15" s="5">
        <v>250</v>
      </c>
      <c r="F15" s="128">
        <f>D15*E15</f>
        <v>500000</v>
      </c>
    </row>
    <row r="16" spans="1:8" ht="15" customHeight="1" x14ac:dyDescent="0.15">
      <c r="D16" s="5">
        <f>SUM(D14:D15)</f>
        <v>5000</v>
      </c>
      <c r="E16" s="5">
        <v>250</v>
      </c>
      <c r="F16" s="5">
        <f>SUM(F14:F15)</f>
        <v>1250000</v>
      </c>
    </row>
    <row r="18" spans="1:6" ht="15" customHeight="1" x14ac:dyDescent="0.15">
      <c r="A18" s="83" t="s">
        <v>45</v>
      </c>
      <c r="B18" s="2"/>
      <c r="C18" s="3"/>
      <c r="D18" s="5">
        <v>1000</v>
      </c>
      <c r="E18" s="5">
        <v>250</v>
      </c>
      <c r="F18" s="5">
        <f>D18*E18</f>
        <v>250000</v>
      </c>
    </row>
    <row r="19" spans="1:6" ht="15" customHeight="1" x14ac:dyDescent="0.15">
      <c r="A19" s="85"/>
      <c r="B19" s="86"/>
      <c r="C19" s="86"/>
      <c r="D19" s="86"/>
      <c r="E19" s="86"/>
      <c r="F19" s="86"/>
    </row>
    <row r="20" spans="1:6" ht="15" customHeight="1" x14ac:dyDescent="0.15">
      <c r="A20" s="85" t="s">
        <v>35</v>
      </c>
      <c r="B20" s="86"/>
      <c r="C20" s="86"/>
      <c r="D20" s="86"/>
      <c r="E20" s="86"/>
      <c r="F20" s="86"/>
    </row>
    <row r="21" spans="1:6" ht="15" customHeight="1" x14ac:dyDescent="0.15">
      <c r="B21" s="86"/>
      <c r="C21" s="86"/>
      <c r="D21" s="5" t="s">
        <v>2</v>
      </c>
      <c r="E21" s="86"/>
      <c r="F21" s="86"/>
    </row>
    <row r="22" spans="1:6" ht="15" customHeight="1" x14ac:dyDescent="0.15">
      <c r="A22" s="85"/>
      <c r="B22" s="87" t="s">
        <v>43</v>
      </c>
      <c r="C22" s="88"/>
      <c r="D22" s="3">
        <v>5000</v>
      </c>
      <c r="E22" s="86"/>
      <c r="F22" s="86"/>
    </row>
    <row r="23" spans="1:6" ht="15" customHeight="1" x14ac:dyDescent="0.15">
      <c r="A23" s="85"/>
      <c r="B23" s="89" t="s">
        <v>44</v>
      </c>
      <c r="C23" s="90"/>
      <c r="D23" s="3">
        <v>4000</v>
      </c>
      <c r="E23" s="86"/>
      <c r="F23" s="86"/>
    </row>
    <row r="24" spans="1:6" ht="15" customHeight="1" x14ac:dyDescent="0.15">
      <c r="A24" s="85"/>
      <c r="B24" s="86"/>
      <c r="C24" s="86"/>
      <c r="D24" s="5">
        <f>SUM(D22:D23)</f>
        <v>9000</v>
      </c>
      <c r="E24" s="86"/>
      <c r="F24" s="86"/>
    </row>
    <row r="25" spans="1:6" ht="15" customHeight="1" x14ac:dyDescent="0.15">
      <c r="B25" s="86"/>
      <c r="C25" s="86"/>
      <c r="D25" s="86"/>
      <c r="E25" s="86"/>
      <c r="F25" s="86"/>
    </row>
    <row r="26" spans="1:6" ht="15" customHeight="1" x14ac:dyDescent="0.15">
      <c r="A26" s="85" t="s">
        <v>46</v>
      </c>
      <c r="B26" s="86"/>
      <c r="C26" s="86"/>
      <c r="D26" s="86"/>
      <c r="E26" s="86"/>
      <c r="F26" s="86"/>
    </row>
    <row r="27" spans="1:6" ht="15" customHeight="1" x14ac:dyDescent="0.15">
      <c r="B27" s="86"/>
      <c r="C27" s="86"/>
      <c r="D27" s="5" t="s">
        <v>47</v>
      </c>
      <c r="E27" s="82" t="s">
        <v>48</v>
      </c>
      <c r="F27" s="5" t="s">
        <v>4</v>
      </c>
    </row>
    <row r="28" spans="1:6" ht="15" customHeight="1" x14ac:dyDescent="0.15">
      <c r="A28" s="85"/>
      <c r="B28" s="87" t="s">
        <v>43</v>
      </c>
      <c r="C28" s="88"/>
      <c r="D28" s="3">
        <v>600</v>
      </c>
      <c r="E28" s="3">
        <f>F30/D30</f>
        <v>1200</v>
      </c>
      <c r="F28" s="321">
        <f>D28*E28</f>
        <v>720000</v>
      </c>
    </row>
    <row r="29" spans="1:6" ht="15" customHeight="1" x14ac:dyDescent="0.15">
      <c r="A29" s="85"/>
      <c r="B29" s="89" t="s">
        <v>44</v>
      </c>
      <c r="C29" s="90"/>
      <c r="D29" s="3">
        <v>400</v>
      </c>
      <c r="E29" s="3">
        <f>E28</f>
        <v>1200</v>
      </c>
      <c r="F29" s="321">
        <f>D29*E29</f>
        <v>480000</v>
      </c>
    </row>
    <row r="30" spans="1:6" ht="15" customHeight="1" x14ac:dyDescent="0.15">
      <c r="A30" s="85"/>
      <c r="B30" s="86"/>
      <c r="C30" s="86"/>
      <c r="D30" s="5">
        <f>SUM(D28:D29)</f>
        <v>1000</v>
      </c>
      <c r="E30" s="5">
        <f>E29</f>
        <v>1200</v>
      </c>
      <c r="F30" s="5">
        <v>1200000</v>
      </c>
    </row>
    <row r="31" spans="1:6" ht="15" customHeight="1" x14ac:dyDescent="0.15">
      <c r="A31" s="85"/>
      <c r="B31" s="86"/>
      <c r="C31" s="86"/>
      <c r="D31" s="86"/>
      <c r="E31" s="86"/>
      <c r="F31" s="86"/>
    </row>
    <row r="32" spans="1:6" ht="15" customHeight="1" x14ac:dyDescent="0.15">
      <c r="A32" s="86"/>
      <c r="B32" s="86"/>
      <c r="C32" s="86"/>
      <c r="D32" s="86"/>
      <c r="E32" s="86"/>
      <c r="F32" s="86"/>
    </row>
    <row r="33" spans="1:6" ht="15" customHeight="1" x14ac:dyDescent="0.15">
      <c r="A33" s="85" t="s">
        <v>49</v>
      </c>
      <c r="B33" s="86"/>
      <c r="C33" s="86">
        <v>500000</v>
      </c>
      <c r="D33" s="86"/>
      <c r="E33" s="86"/>
      <c r="F33" s="86"/>
    </row>
    <row r="34" spans="1:6" ht="15" customHeight="1" x14ac:dyDescent="0.15">
      <c r="A34" s="85"/>
      <c r="B34" s="86"/>
      <c r="C34" s="86"/>
      <c r="D34" s="86"/>
      <c r="E34" s="86"/>
      <c r="F34" s="86"/>
    </row>
    <row r="35" spans="1:6" ht="15" customHeight="1" x14ac:dyDescent="0.15">
      <c r="A35" s="85" t="s">
        <v>50</v>
      </c>
      <c r="B35" s="85"/>
      <c r="C35" s="85"/>
      <c r="D35" s="5" t="s">
        <v>47</v>
      </c>
      <c r="E35" s="82" t="s">
        <v>48</v>
      </c>
      <c r="F35" s="5" t="s">
        <v>4</v>
      </c>
    </row>
    <row r="36" spans="1:6" ht="15" customHeight="1" x14ac:dyDescent="0.15">
      <c r="A36" s="85"/>
      <c r="B36" s="87" t="s">
        <v>43</v>
      </c>
      <c r="C36" s="88"/>
      <c r="D36" s="3">
        <v>600</v>
      </c>
      <c r="E36" s="3">
        <f>F38/D38</f>
        <v>500</v>
      </c>
      <c r="F36" s="324">
        <f>E36*D36</f>
        <v>300000</v>
      </c>
    </row>
    <row r="37" spans="1:6" ht="15" customHeight="1" x14ac:dyDescent="0.15">
      <c r="A37" s="85"/>
      <c r="B37" s="89" t="s">
        <v>44</v>
      </c>
      <c r="C37" s="90"/>
      <c r="D37" s="3">
        <v>400</v>
      </c>
      <c r="E37" s="3">
        <f>E36</f>
        <v>500</v>
      </c>
      <c r="F37" s="324">
        <f>E37*D37</f>
        <v>200000</v>
      </c>
    </row>
    <row r="38" spans="1:6" ht="15" customHeight="1" x14ac:dyDescent="0.15">
      <c r="A38" s="86"/>
      <c r="B38" s="86"/>
      <c r="C38" s="86"/>
      <c r="D38" s="5">
        <f>SUM(D36:D37)</f>
        <v>1000</v>
      </c>
      <c r="E38" s="5"/>
      <c r="F38" s="5">
        <v>500000</v>
      </c>
    </row>
    <row r="39" spans="1:6" ht="15" customHeight="1" x14ac:dyDescent="0.15">
      <c r="A39" s="86"/>
      <c r="B39" s="86"/>
      <c r="C39" s="86"/>
      <c r="D39" s="86"/>
      <c r="E39" s="86"/>
      <c r="F39" s="86"/>
    </row>
    <row r="40" spans="1:6" ht="15" customHeight="1" x14ac:dyDescent="0.15">
      <c r="A40" s="86"/>
      <c r="B40" s="86"/>
      <c r="C40" s="86"/>
      <c r="D40" s="86"/>
      <c r="E40" s="86"/>
      <c r="F40" s="86"/>
    </row>
    <row r="41" spans="1:6" ht="15" customHeight="1" x14ac:dyDescent="0.15">
      <c r="A41" s="85" t="s">
        <v>49</v>
      </c>
      <c r="B41" s="86"/>
      <c r="C41" s="86"/>
      <c r="D41" s="86"/>
      <c r="E41" s="86"/>
      <c r="F41" s="86"/>
    </row>
    <row r="42" spans="1:6" ht="15" customHeight="1" x14ac:dyDescent="0.15">
      <c r="A42" s="85"/>
      <c r="B42" s="86"/>
      <c r="C42" s="86"/>
      <c r="D42" s="86"/>
      <c r="E42" s="86"/>
      <c r="F42" s="86"/>
    </row>
    <row r="43" spans="1:6" ht="15" customHeight="1" x14ac:dyDescent="0.15">
      <c r="A43" s="85" t="s">
        <v>51</v>
      </c>
      <c r="B43" s="85"/>
      <c r="C43" s="85"/>
      <c r="D43" s="5" t="s">
        <v>2</v>
      </c>
      <c r="E43" s="82" t="s">
        <v>48</v>
      </c>
      <c r="F43" s="5" t="s">
        <v>4</v>
      </c>
    </row>
    <row r="44" spans="1:6" ht="15" customHeight="1" x14ac:dyDescent="0.15">
      <c r="A44" s="85"/>
      <c r="B44" s="87" t="s">
        <v>43</v>
      </c>
      <c r="C44" s="88"/>
      <c r="D44" s="3">
        <v>5000</v>
      </c>
      <c r="E44" s="3">
        <f>F46/D46</f>
        <v>55.555555555555557</v>
      </c>
      <c r="F44" s="5">
        <f>D44*E44</f>
        <v>277777.77777777781</v>
      </c>
    </row>
    <row r="45" spans="1:6" ht="15" customHeight="1" x14ac:dyDescent="0.15">
      <c r="A45" s="85"/>
      <c r="B45" s="89" t="s">
        <v>44</v>
      </c>
      <c r="C45" s="90"/>
      <c r="D45" s="3">
        <v>4000</v>
      </c>
      <c r="E45" s="3">
        <f>E44</f>
        <v>55.555555555555557</v>
      </c>
      <c r="F45" s="5">
        <f>D45*E45</f>
        <v>222222.22222222222</v>
      </c>
    </row>
    <row r="46" spans="1:6" ht="15" customHeight="1" x14ac:dyDescent="0.15">
      <c r="A46" s="86"/>
      <c r="B46" s="86"/>
      <c r="C46" s="86"/>
      <c r="D46" s="5">
        <f>SUM(D44:D45)</f>
        <v>9000</v>
      </c>
      <c r="E46" s="5"/>
      <c r="F46" s="5">
        <v>500000</v>
      </c>
    </row>
    <row r="47" spans="1:6" ht="15" customHeight="1" x14ac:dyDescent="0.15">
      <c r="A47" s="86"/>
      <c r="B47" s="86"/>
      <c r="C47" s="86"/>
      <c r="D47" s="86"/>
      <c r="E47" s="86"/>
      <c r="F47" s="86"/>
    </row>
    <row r="48" spans="1:6" ht="15" customHeight="1" x14ac:dyDescent="0.15">
      <c r="A48" s="86"/>
      <c r="B48" s="86"/>
      <c r="C48" s="86"/>
      <c r="D48" s="86"/>
      <c r="E48" s="86"/>
      <c r="F48" s="86"/>
    </row>
    <row r="49" spans="1:6" ht="15" customHeight="1" x14ac:dyDescent="0.15">
      <c r="A49" s="85" t="s">
        <v>49</v>
      </c>
      <c r="B49" s="86"/>
      <c r="C49" s="86"/>
      <c r="D49" s="86"/>
      <c r="E49" s="86"/>
      <c r="F49" s="86"/>
    </row>
    <row r="50" spans="1:6" ht="15" customHeight="1" x14ac:dyDescent="0.15">
      <c r="A50" s="85"/>
      <c r="B50" s="86"/>
      <c r="C50" s="86"/>
      <c r="D50" s="86"/>
      <c r="E50" s="86"/>
      <c r="F50" s="86"/>
    </row>
    <row r="51" spans="1:6" ht="15" customHeight="1" x14ac:dyDescent="0.15">
      <c r="A51" s="85" t="s">
        <v>116</v>
      </c>
      <c r="B51" s="85"/>
      <c r="C51" s="85"/>
      <c r="D51" s="5" t="s">
        <v>2</v>
      </c>
      <c r="E51" s="82" t="s">
        <v>48</v>
      </c>
      <c r="F51" s="5" t="s">
        <v>4</v>
      </c>
    </row>
    <row r="52" spans="1:6" ht="15" customHeight="1" x14ac:dyDescent="0.15">
      <c r="A52" s="85"/>
      <c r="B52" s="87" t="s">
        <v>43</v>
      </c>
      <c r="C52" s="88"/>
      <c r="D52" s="3">
        <v>3000</v>
      </c>
      <c r="E52" s="3">
        <f>F54/D54</f>
        <v>100</v>
      </c>
      <c r="F52" s="5">
        <f>D52*E52</f>
        <v>300000</v>
      </c>
    </row>
    <row r="53" spans="1:6" ht="15" customHeight="1" x14ac:dyDescent="0.15">
      <c r="A53" s="85"/>
      <c r="B53" s="89" t="s">
        <v>44</v>
      </c>
      <c r="C53" s="90"/>
      <c r="D53" s="3">
        <v>2000</v>
      </c>
      <c r="E53" s="3">
        <f>E52</f>
        <v>100</v>
      </c>
      <c r="F53" s="5">
        <f>D53*E53</f>
        <v>200000</v>
      </c>
    </row>
    <row r="54" spans="1:6" ht="15" customHeight="1" x14ac:dyDescent="0.15">
      <c r="A54" s="86"/>
      <c r="B54" s="86"/>
      <c r="C54" s="86"/>
      <c r="D54" s="5">
        <f>SUM(D52:D53)</f>
        <v>5000</v>
      </c>
      <c r="E54" s="5"/>
      <c r="F54" s="5">
        <v>500000</v>
      </c>
    </row>
    <row r="56" spans="1:6" ht="15" customHeight="1" x14ac:dyDescent="0.15">
      <c r="A56" s="81" t="s">
        <v>26</v>
      </c>
      <c r="E56" s="6" t="s">
        <v>117</v>
      </c>
    </row>
    <row r="57" spans="1:6" ht="15" customHeight="1" x14ac:dyDescent="0.15">
      <c r="A57" s="81"/>
    </row>
    <row r="58" spans="1:6" ht="15" customHeight="1" x14ac:dyDescent="0.15">
      <c r="D58" s="81" t="s">
        <v>43</v>
      </c>
      <c r="E58" s="81" t="s">
        <v>44</v>
      </c>
    </row>
    <row r="59" spans="1:6" ht="15" customHeight="1" x14ac:dyDescent="0.15">
      <c r="A59" s="6" t="s">
        <v>27</v>
      </c>
      <c r="D59" s="320">
        <f>F14</f>
        <v>750000</v>
      </c>
      <c r="E59" s="320">
        <f>F15</f>
        <v>500000</v>
      </c>
    </row>
    <row r="60" spans="1:6" ht="15" customHeight="1" x14ac:dyDescent="0.15">
      <c r="A60" s="6" t="s">
        <v>28</v>
      </c>
      <c r="D60" s="322">
        <f>F28</f>
        <v>720000</v>
      </c>
      <c r="E60" s="322">
        <f>F29</f>
        <v>480000</v>
      </c>
    </row>
    <row r="61" spans="1:6" ht="15" customHeight="1" x14ac:dyDescent="0.15">
      <c r="A61" s="6" t="s">
        <v>29</v>
      </c>
      <c r="D61" s="323">
        <f>F36</f>
        <v>300000</v>
      </c>
      <c r="E61" s="323">
        <f>F37</f>
        <v>200000</v>
      </c>
    </row>
    <row r="62" spans="1:6" ht="15" customHeight="1" x14ac:dyDescent="0.15">
      <c r="C62" s="81" t="s">
        <v>30</v>
      </c>
      <c r="D62" s="6">
        <f>SUM(D59:D61)</f>
        <v>1770000</v>
      </c>
      <c r="E62" s="6">
        <f>SUM(E59:E61)</f>
        <v>1180000</v>
      </c>
    </row>
    <row r="63" spans="1:6" ht="15" customHeight="1" x14ac:dyDescent="0.15">
      <c r="A63" s="6" t="s">
        <v>31</v>
      </c>
      <c r="D63" s="6">
        <v>5000</v>
      </c>
      <c r="E63" s="6">
        <v>4000</v>
      </c>
    </row>
    <row r="64" spans="1:6" ht="15" customHeight="1" x14ac:dyDescent="0.15">
      <c r="A64" s="6" t="s">
        <v>32</v>
      </c>
      <c r="D64" s="6">
        <f>D62/D63</f>
        <v>354</v>
      </c>
      <c r="E64" s="6">
        <f>E62/E63</f>
        <v>295</v>
      </c>
    </row>
    <row r="66" spans="1:11" ht="15" customHeight="1" x14ac:dyDescent="0.15">
      <c r="A66" s="81" t="s">
        <v>33</v>
      </c>
    </row>
    <row r="67" spans="1:11" ht="15" customHeight="1" x14ac:dyDescent="0.15">
      <c r="A67" s="81"/>
    </row>
    <row r="68" spans="1:11" ht="15" customHeight="1" x14ac:dyDescent="0.15">
      <c r="A68" s="91" t="s">
        <v>52</v>
      </c>
      <c r="B68" s="5"/>
      <c r="C68" s="5"/>
      <c r="D68" s="82" t="s">
        <v>2</v>
      </c>
      <c r="E68" s="82" t="s">
        <v>34</v>
      </c>
      <c r="F68" s="82" t="s">
        <v>4</v>
      </c>
      <c r="I68" s="6">
        <v>3800</v>
      </c>
    </row>
    <row r="69" spans="1:11" s="86" customFormat="1" ht="15" customHeight="1" x14ac:dyDescent="0.15">
      <c r="A69" s="92" t="s">
        <v>5</v>
      </c>
      <c r="B69" s="92"/>
      <c r="C69" s="92"/>
      <c r="D69" s="4">
        <v>0</v>
      </c>
      <c r="E69" s="5">
        <v>0</v>
      </c>
      <c r="F69" s="5">
        <f>D69*E69</f>
        <v>0</v>
      </c>
      <c r="I69" s="86">
        <v>200</v>
      </c>
      <c r="J69" s="86">
        <v>27.5</v>
      </c>
      <c r="K69" s="86">
        <f>I69*J69</f>
        <v>5500</v>
      </c>
    </row>
    <row r="70" spans="1:11" ht="15" customHeight="1" x14ac:dyDescent="0.15">
      <c r="A70" s="1" t="s">
        <v>35</v>
      </c>
      <c r="B70" s="2"/>
      <c r="C70" s="3"/>
      <c r="D70" s="3">
        <v>5000</v>
      </c>
      <c r="E70" s="5">
        <f>D64</f>
        <v>354</v>
      </c>
      <c r="F70" s="5">
        <f>D70*E70</f>
        <v>1770000</v>
      </c>
      <c r="I70" s="6">
        <v>3600</v>
      </c>
      <c r="J70" s="6">
        <v>30</v>
      </c>
      <c r="K70" s="86">
        <f>I70*J70</f>
        <v>108000</v>
      </c>
    </row>
    <row r="71" spans="1:11" ht="15" customHeight="1" x14ac:dyDescent="0.15">
      <c r="A71" s="1" t="s">
        <v>53</v>
      </c>
      <c r="B71" s="2"/>
      <c r="C71" s="3"/>
      <c r="D71" s="5">
        <v>4500</v>
      </c>
      <c r="E71" s="5">
        <f>D64</f>
        <v>354</v>
      </c>
      <c r="F71" s="324">
        <f>D71*E71</f>
        <v>1593000</v>
      </c>
      <c r="K71" s="6">
        <f>SUM(K69:K70)</f>
        <v>113500</v>
      </c>
    </row>
    <row r="72" spans="1:11" ht="15" customHeight="1" x14ac:dyDescent="0.15">
      <c r="A72" s="1" t="s">
        <v>13</v>
      </c>
      <c r="B72" s="2"/>
      <c r="C72" s="3"/>
      <c r="D72" s="5">
        <f>D70-D71</f>
        <v>500</v>
      </c>
      <c r="E72" s="5">
        <f>D64</f>
        <v>354</v>
      </c>
      <c r="F72" s="5">
        <f>D72*E72</f>
        <v>177000</v>
      </c>
    </row>
    <row r="73" spans="1:11" s="86" customFormat="1" ht="15" customHeight="1" x14ac:dyDescent="0.15"/>
    <row r="74" spans="1:11" ht="15" customHeight="1" x14ac:dyDescent="0.15">
      <c r="A74" s="91" t="s">
        <v>54</v>
      </c>
      <c r="B74" s="5"/>
      <c r="C74" s="5"/>
      <c r="D74" s="82" t="s">
        <v>2</v>
      </c>
      <c r="E74" s="82" t="s">
        <v>34</v>
      </c>
      <c r="F74" s="82" t="s">
        <v>4</v>
      </c>
    </row>
    <row r="75" spans="1:11" s="86" customFormat="1" ht="15" customHeight="1" x14ac:dyDescent="0.15">
      <c r="A75" s="92" t="s">
        <v>5</v>
      </c>
      <c r="B75" s="92"/>
      <c r="C75" s="92"/>
      <c r="D75" s="4">
        <v>200</v>
      </c>
      <c r="E75" s="5">
        <f>F75/D75</f>
        <v>275</v>
      </c>
      <c r="F75" s="5">
        <v>55000</v>
      </c>
    </row>
    <row r="76" spans="1:11" ht="15" customHeight="1" x14ac:dyDescent="0.15">
      <c r="A76" s="1" t="s">
        <v>35</v>
      </c>
      <c r="B76" s="2"/>
      <c r="C76" s="3"/>
      <c r="D76" s="3">
        <v>4000</v>
      </c>
      <c r="E76" s="5">
        <f>E64</f>
        <v>295</v>
      </c>
      <c r="F76" s="5">
        <f>D76*E76</f>
        <v>1180000</v>
      </c>
    </row>
    <row r="77" spans="1:11" ht="15" customHeight="1" x14ac:dyDescent="0.15">
      <c r="A77" s="1" t="s">
        <v>53</v>
      </c>
      <c r="B77" s="2"/>
      <c r="C77" s="3"/>
      <c r="D77" s="5">
        <v>3800</v>
      </c>
      <c r="E77" s="93" t="s">
        <v>75</v>
      </c>
      <c r="F77" s="324">
        <f>(D75*E75)+(3600*E76)</f>
        <v>1117000</v>
      </c>
    </row>
    <row r="78" spans="1:11" ht="15" customHeight="1" x14ac:dyDescent="0.15">
      <c r="A78" s="1" t="s">
        <v>13</v>
      </c>
      <c r="B78" s="2"/>
      <c r="C78" s="3"/>
      <c r="D78" s="5">
        <f>D75+D76-D77</f>
        <v>400</v>
      </c>
      <c r="E78" s="5">
        <f>E76</f>
        <v>295</v>
      </c>
      <c r="F78" s="5">
        <f>D78*E78</f>
        <v>118000</v>
      </c>
    </row>
    <row r="79" spans="1:11" ht="15" customHeight="1" x14ac:dyDescent="0.15">
      <c r="A79" s="86"/>
      <c r="B79" s="86"/>
      <c r="C79" s="86"/>
      <c r="D79" s="86"/>
      <c r="E79" s="86"/>
      <c r="F79" s="86"/>
    </row>
    <row r="80" spans="1:11" ht="15" customHeight="1" x14ac:dyDescent="0.15">
      <c r="A80" s="81" t="s">
        <v>39</v>
      </c>
    </row>
    <row r="81" spans="1:6" ht="15" customHeight="1" x14ac:dyDescent="0.15">
      <c r="A81" s="81"/>
    </row>
    <row r="82" spans="1:6" ht="15" customHeight="1" x14ac:dyDescent="0.15">
      <c r="A82" s="81"/>
      <c r="C82" s="83" t="s">
        <v>43</v>
      </c>
      <c r="D82" s="94"/>
      <c r="E82" s="83" t="s">
        <v>55</v>
      </c>
      <c r="F82" s="3"/>
    </row>
    <row r="83" spans="1:6" s="84" customFormat="1" ht="15" customHeight="1" x14ac:dyDescent="0.15">
      <c r="C83" s="95" t="s">
        <v>4</v>
      </c>
      <c r="D83" s="96" t="s">
        <v>40</v>
      </c>
      <c r="E83" s="95" t="s">
        <v>4</v>
      </c>
      <c r="F83" s="96" t="s">
        <v>40</v>
      </c>
    </row>
    <row r="84" spans="1:6" ht="15" customHeight="1" x14ac:dyDescent="0.15">
      <c r="A84" s="6" t="s">
        <v>16</v>
      </c>
      <c r="C84" s="97">
        <f>4500*50</f>
        <v>225000</v>
      </c>
      <c r="D84" s="98">
        <v>50</v>
      </c>
      <c r="E84" s="97">
        <f>3800*40</f>
        <v>152000</v>
      </c>
      <c r="F84" s="98">
        <v>40</v>
      </c>
    </row>
    <row r="85" spans="1:6" ht="15" customHeight="1" x14ac:dyDescent="0.15">
      <c r="A85" s="6" t="s">
        <v>41</v>
      </c>
      <c r="C85" s="325">
        <f>-F71</f>
        <v>-1593000</v>
      </c>
      <c r="D85" s="326">
        <v>36</v>
      </c>
      <c r="E85" s="325">
        <f>-F77</f>
        <v>-1117000</v>
      </c>
      <c r="F85" s="90"/>
    </row>
    <row r="86" spans="1:6" ht="15" customHeight="1" x14ac:dyDescent="0.15">
      <c r="A86" s="6" t="s">
        <v>42</v>
      </c>
      <c r="C86" s="89">
        <f>SUM(C84:C85)</f>
        <v>-1368000</v>
      </c>
      <c r="D86" s="90">
        <f>D84-D85</f>
        <v>14</v>
      </c>
      <c r="E86" s="89">
        <f>SUM(E84:E85)</f>
        <v>-965000</v>
      </c>
      <c r="F86" s="90">
        <f>E86/3800</f>
        <v>-253.94736842105263</v>
      </c>
    </row>
    <row r="88" spans="1:6" ht="15" customHeight="1" x14ac:dyDescent="0.15">
      <c r="A88" s="81" t="s">
        <v>26</v>
      </c>
      <c r="E88" s="6" t="s">
        <v>56</v>
      </c>
    </row>
    <row r="89" spans="1:6" ht="15" customHeight="1" x14ac:dyDescent="0.15">
      <c r="A89" s="81"/>
    </row>
    <row r="90" spans="1:6" ht="15" customHeight="1" x14ac:dyDescent="0.15">
      <c r="D90" s="81" t="s">
        <v>43</v>
      </c>
      <c r="E90" s="81" t="s">
        <v>44</v>
      </c>
    </row>
    <row r="91" spans="1:6" s="99" customFormat="1" ht="15" customHeight="1" x14ac:dyDescent="0.15">
      <c r="A91" s="6" t="s">
        <v>27</v>
      </c>
      <c r="D91" s="6">
        <f>F14</f>
        <v>750000</v>
      </c>
      <c r="E91" s="6">
        <f>F15</f>
        <v>500000</v>
      </c>
    </row>
    <row r="92" spans="1:6" s="99" customFormat="1" ht="15" customHeight="1" x14ac:dyDescent="0.15">
      <c r="A92" s="6" t="s">
        <v>28</v>
      </c>
      <c r="D92" s="6">
        <f>F28</f>
        <v>720000</v>
      </c>
      <c r="E92" s="6">
        <f>E60</f>
        <v>480000</v>
      </c>
    </row>
    <row r="93" spans="1:6" s="99" customFormat="1" ht="15" customHeight="1" x14ac:dyDescent="0.15">
      <c r="A93" s="6" t="s">
        <v>29</v>
      </c>
      <c r="D93" s="6">
        <f>F44</f>
        <v>277777.77777777781</v>
      </c>
      <c r="E93" s="6">
        <f>F45</f>
        <v>222222.22222222222</v>
      </c>
    </row>
    <row r="94" spans="1:6" s="99" customFormat="1" ht="15" customHeight="1" x14ac:dyDescent="0.15">
      <c r="A94" s="6"/>
      <c r="B94" s="6"/>
      <c r="C94" s="81" t="s">
        <v>30</v>
      </c>
      <c r="D94" s="123">
        <f>SUM(D91:D93)</f>
        <v>1747777.7777777778</v>
      </c>
      <c r="E94" s="124">
        <f>SUM(E91:E93)</f>
        <v>1202222.2222222222</v>
      </c>
    </row>
    <row r="95" spans="1:6" s="99" customFormat="1" ht="15" customHeight="1" x14ac:dyDescent="0.15">
      <c r="A95" s="6" t="s">
        <v>31</v>
      </c>
      <c r="B95" s="6"/>
      <c r="C95" s="6"/>
      <c r="D95" s="123">
        <v>5000</v>
      </c>
      <c r="E95" s="124">
        <v>4000</v>
      </c>
    </row>
    <row r="96" spans="1:6" s="99" customFormat="1" ht="15" customHeight="1" x14ac:dyDescent="0.15">
      <c r="A96" s="6" t="s">
        <v>32</v>
      </c>
      <c r="D96" s="123">
        <f>D94/D95</f>
        <v>349.55555555555554</v>
      </c>
      <c r="E96" s="124">
        <f>E94/E95</f>
        <v>300.55555555555554</v>
      </c>
    </row>
    <row r="98" spans="1:7" ht="15" customHeight="1" x14ac:dyDescent="0.15">
      <c r="A98" s="81" t="s">
        <v>33</v>
      </c>
    </row>
    <row r="99" spans="1:7" ht="15" customHeight="1" x14ac:dyDescent="0.15">
      <c r="A99" s="81"/>
    </row>
    <row r="100" spans="1:7" ht="15" customHeight="1" x14ac:dyDescent="0.15">
      <c r="A100" s="91" t="s">
        <v>52</v>
      </c>
      <c r="B100" s="5"/>
      <c r="C100" s="5"/>
      <c r="D100" s="82" t="s">
        <v>2</v>
      </c>
      <c r="E100" s="82" t="s">
        <v>34</v>
      </c>
      <c r="F100" s="82" t="s">
        <v>4</v>
      </c>
    </row>
    <row r="101" spans="1:7" s="86" customFormat="1" ht="15" customHeight="1" x14ac:dyDescent="0.15">
      <c r="A101" s="92" t="s">
        <v>5</v>
      </c>
      <c r="B101" s="92"/>
      <c r="C101" s="92"/>
      <c r="D101" s="4">
        <v>0</v>
      </c>
      <c r="E101" s="5">
        <v>0</v>
      </c>
      <c r="F101" s="5">
        <f>D101*E101</f>
        <v>0</v>
      </c>
    </row>
    <row r="102" spans="1:7" ht="15" customHeight="1" x14ac:dyDescent="0.15">
      <c r="A102" s="1" t="s">
        <v>35</v>
      </c>
      <c r="B102" s="2"/>
      <c r="C102" s="3"/>
      <c r="D102" s="121">
        <v>5000</v>
      </c>
      <c r="E102" s="122">
        <f>D96</f>
        <v>349.55555555555554</v>
      </c>
      <c r="F102" s="122">
        <f>D102*E102</f>
        <v>1747777.7777777778</v>
      </c>
      <c r="G102" s="6">
        <f>F101+F102</f>
        <v>1747777.7777777778</v>
      </c>
    </row>
    <row r="103" spans="1:7" ht="15" customHeight="1" x14ac:dyDescent="0.15">
      <c r="A103" s="1" t="s">
        <v>121</v>
      </c>
      <c r="B103" s="2"/>
      <c r="C103" s="3"/>
      <c r="D103" s="5">
        <v>4500</v>
      </c>
      <c r="E103" s="5">
        <f>D96</f>
        <v>349.55555555555554</v>
      </c>
      <c r="F103" s="128">
        <f>D103*E103</f>
        <v>1573000</v>
      </c>
    </row>
    <row r="104" spans="1:7" ht="15" customHeight="1" x14ac:dyDescent="0.15">
      <c r="A104" s="1" t="s">
        <v>13</v>
      </c>
      <c r="B104" s="2"/>
      <c r="C104" s="3"/>
      <c r="D104" s="5">
        <f>D102-D103</f>
        <v>500</v>
      </c>
      <c r="E104" s="5">
        <f>D96</f>
        <v>349.55555555555554</v>
      </c>
      <c r="F104" s="5">
        <f>D104*E104</f>
        <v>174777.77777777778</v>
      </c>
      <c r="G104" s="6">
        <f>F103+F104</f>
        <v>1747777.7777777778</v>
      </c>
    </row>
    <row r="105" spans="1:7" s="86" customFormat="1" ht="15" customHeight="1" x14ac:dyDescent="0.15"/>
    <row r="106" spans="1:7" s="99" customFormat="1" ht="15" customHeight="1" x14ac:dyDescent="0.15">
      <c r="A106" s="91" t="s">
        <v>54</v>
      </c>
      <c r="B106" s="5"/>
      <c r="C106" s="5"/>
      <c r="D106" s="82" t="s">
        <v>2</v>
      </c>
      <c r="E106" s="82" t="s">
        <v>34</v>
      </c>
      <c r="F106" s="82" t="s">
        <v>4</v>
      </c>
    </row>
    <row r="107" spans="1:7" s="86" customFormat="1" ht="15" customHeight="1" x14ac:dyDescent="0.15">
      <c r="A107" s="92" t="s">
        <v>5</v>
      </c>
      <c r="B107" s="92"/>
      <c r="C107" s="92"/>
      <c r="D107" s="127">
        <v>200</v>
      </c>
      <c r="E107" s="91">
        <f>F107/D107</f>
        <v>275</v>
      </c>
      <c r="F107" s="91">
        <v>55000</v>
      </c>
    </row>
    <row r="108" spans="1:7" ht="15" customHeight="1" x14ac:dyDescent="0.15">
      <c r="A108" s="1" t="s">
        <v>35</v>
      </c>
      <c r="B108" s="2"/>
      <c r="C108" s="3"/>
      <c r="D108" s="125">
        <v>4000</v>
      </c>
      <c r="E108" s="126">
        <f>E96</f>
        <v>300.55555555555554</v>
      </c>
      <c r="F108" s="126">
        <f>E94</f>
        <v>1202222.2222222222</v>
      </c>
      <c r="G108" s="6">
        <f>F107+F108</f>
        <v>1257222.2222222222</v>
      </c>
    </row>
    <row r="109" spans="1:7" s="99" customFormat="1" ht="15" customHeight="1" x14ac:dyDescent="0.15">
      <c r="A109" s="1" t="s">
        <v>120</v>
      </c>
      <c r="B109" s="108"/>
      <c r="C109" s="109"/>
      <c r="D109" s="5">
        <v>3800</v>
      </c>
      <c r="E109" s="93" t="s">
        <v>119</v>
      </c>
      <c r="F109" s="5">
        <f>(D107*E107)+(3600*E108)</f>
        <v>1137000</v>
      </c>
    </row>
    <row r="110" spans="1:7" s="99" customFormat="1" ht="15" customHeight="1" x14ac:dyDescent="0.15">
      <c r="A110" s="1" t="s">
        <v>13</v>
      </c>
      <c r="B110" s="108"/>
      <c r="C110" s="109"/>
      <c r="D110" s="5">
        <f>D107+D108-D109</f>
        <v>400</v>
      </c>
      <c r="E110" s="5">
        <f>E108</f>
        <v>300.55555555555554</v>
      </c>
      <c r="F110" s="5">
        <f>D110*E110</f>
        <v>120222.22222222222</v>
      </c>
      <c r="G110" s="6">
        <f>F109+F110</f>
        <v>1257222.2222222222</v>
      </c>
    </row>
    <row r="111" spans="1:7" ht="15" customHeight="1" x14ac:dyDescent="0.15">
      <c r="A111" s="86"/>
      <c r="B111" s="86"/>
      <c r="C111" s="86"/>
      <c r="D111" s="86"/>
      <c r="E111" s="86"/>
      <c r="F111" s="86"/>
    </row>
    <row r="112" spans="1:7" ht="15" customHeight="1" x14ac:dyDescent="0.15">
      <c r="A112" s="81" t="s">
        <v>39</v>
      </c>
    </row>
    <row r="113" spans="1:6" ht="15" customHeight="1" x14ac:dyDescent="0.15">
      <c r="A113" s="81"/>
    </row>
    <row r="114" spans="1:6" ht="15" customHeight="1" x14ac:dyDescent="0.15">
      <c r="A114" s="81"/>
      <c r="C114" s="83" t="s">
        <v>43</v>
      </c>
      <c r="D114" s="94"/>
      <c r="E114" s="83" t="s">
        <v>55</v>
      </c>
      <c r="F114" s="3"/>
    </row>
    <row r="115" spans="1:6" s="84" customFormat="1" ht="15" customHeight="1" x14ac:dyDescent="0.15">
      <c r="C115" s="95" t="s">
        <v>4</v>
      </c>
      <c r="D115" s="96" t="s">
        <v>40</v>
      </c>
      <c r="E115" s="95" t="s">
        <v>4</v>
      </c>
      <c r="F115" s="96" t="s">
        <v>40</v>
      </c>
    </row>
    <row r="116" spans="1:6" s="99" customFormat="1" ht="15" customHeight="1" x14ac:dyDescent="0.15">
      <c r="A116" s="6" t="s">
        <v>16</v>
      </c>
      <c r="C116" s="97">
        <f>4500*500</f>
        <v>2250000</v>
      </c>
      <c r="D116" s="98">
        <v>500</v>
      </c>
      <c r="E116" s="97">
        <f>3800*40</f>
        <v>152000</v>
      </c>
      <c r="F116" s="98">
        <v>400</v>
      </c>
    </row>
    <row r="117" spans="1:6" s="99" customFormat="1" ht="15" customHeight="1" x14ac:dyDescent="0.15">
      <c r="A117" s="6" t="s">
        <v>41</v>
      </c>
      <c r="C117" s="129">
        <f>-F103</f>
        <v>-1573000</v>
      </c>
      <c r="D117" s="90">
        <f>E103</f>
        <v>349.55555555555554</v>
      </c>
      <c r="E117" s="89">
        <f>-F109</f>
        <v>-1137000</v>
      </c>
      <c r="F117" s="90"/>
    </row>
    <row r="118" spans="1:6" s="99" customFormat="1" ht="15" customHeight="1" x14ac:dyDescent="0.15">
      <c r="A118" s="6" t="s">
        <v>42</v>
      </c>
      <c r="C118" s="89">
        <f>SUM(C116:C117)</f>
        <v>677000</v>
      </c>
      <c r="D118" s="90">
        <f>D116-D117</f>
        <v>150.44444444444446</v>
      </c>
      <c r="E118" s="89">
        <f>SUM(E116:E117)</f>
        <v>-985000</v>
      </c>
      <c r="F118" s="119">
        <f>E118/3800</f>
        <v>-259.21052631578948</v>
      </c>
    </row>
    <row r="119" spans="1:6" s="99" customFormat="1" ht="15" customHeight="1" x14ac:dyDescent="0.15"/>
    <row r="120" spans="1:6" s="99" customFormat="1" ht="15" customHeight="1" x14ac:dyDescent="0.15"/>
    <row r="121" spans="1:6" s="99" customFormat="1" ht="15" customHeight="1" x14ac:dyDescent="0.15"/>
    <row r="122" spans="1:6" s="99" customFormat="1" ht="15" customHeight="1" x14ac:dyDescent="0.15"/>
    <row r="123" spans="1:6" s="99" customFormat="1" ht="15" customHeight="1" x14ac:dyDescent="0.15"/>
    <row r="124" spans="1:6" s="99" customFormat="1" ht="15" customHeight="1" x14ac:dyDescent="0.15">
      <c r="A124" s="100" t="s">
        <v>26</v>
      </c>
      <c r="E124" s="99" t="s">
        <v>118</v>
      </c>
    </row>
    <row r="125" spans="1:6" s="99" customFormat="1" ht="15" customHeight="1" x14ac:dyDescent="0.15">
      <c r="A125" s="100"/>
    </row>
    <row r="126" spans="1:6" s="99" customFormat="1" ht="15" customHeight="1" x14ac:dyDescent="0.15">
      <c r="D126" s="100" t="s">
        <v>43</v>
      </c>
      <c r="E126" s="100" t="s">
        <v>44</v>
      </c>
    </row>
    <row r="127" spans="1:6" s="99" customFormat="1" ht="15" customHeight="1" x14ac:dyDescent="0.15">
      <c r="A127" s="99" t="s">
        <v>27</v>
      </c>
      <c r="E127" s="99" t="str">
        <f>F83</f>
        <v>UNITARIO</v>
      </c>
    </row>
    <row r="128" spans="1:6" s="99" customFormat="1" ht="15" customHeight="1" x14ac:dyDescent="0.15">
      <c r="A128" s="99" t="s">
        <v>28</v>
      </c>
      <c r="E128" s="99">
        <f>F97</f>
        <v>0</v>
      </c>
    </row>
    <row r="129" spans="1:11" s="99" customFormat="1" ht="15" customHeight="1" x14ac:dyDescent="0.15">
      <c r="A129" s="99" t="s">
        <v>29</v>
      </c>
      <c r="D129" s="120"/>
      <c r="E129" s="120">
        <f>F105</f>
        <v>0</v>
      </c>
    </row>
    <row r="130" spans="1:11" s="99" customFormat="1" ht="15" customHeight="1" x14ac:dyDescent="0.15">
      <c r="C130" s="100" t="s">
        <v>30</v>
      </c>
      <c r="E130" s="99">
        <f>SUM(E127:E129)</f>
        <v>0</v>
      </c>
    </row>
    <row r="131" spans="1:11" s="99" customFormat="1" ht="15" customHeight="1" x14ac:dyDescent="0.15">
      <c r="A131" s="99" t="s">
        <v>31</v>
      </c>
      <c r="E131" s="99">
        <v>4000</v>
      </c>
    </row>
    <row r="132" spans="1:11" s="99" customFormat="1" ht="15" customHeight="1" x14ac:dyDescent="0.15">
      <c r="A132" s="99" t="s">
        <v>32</v>
      </c>
      <c r="E132" s="99">
        <f>E130/E131</f>
        <v>0</v>
      </c>
    </row>
    <row r="133" spans="1:11" s="99" customFormat="1" ht="15" customHeight="1" x14ac:dyDescent="0.15"/>
    <row r="134" spans="1:11" s="99" customFormat="1" ht="15" customHeight="1" x14ac:dyDescent="0.15">
      <c r="A134" s="100" t="s">
        <v>33</v>
      </c>
    </row>
    <row r="135" spans="1:11" s="99" customFormat="1" ht="15" customHeight="1" x14ac:dyDescent="0.15">
      <c r="A135" s="100"/>
    </row>
    <row r="136" spans="1:11" s="99" customFormat="1" ht="15" customHeight="1" x14ac:dyDescent="0.15">
      <c r="A136" s="101" t="s">
        <v>52</v>
      </c>
      <c r="B136" s="102"/>
      <c r="C136" s="102"/>
      <c r="D136" s="103" t="s">
        <v>2</v>
      </c>
      <c r="E136" s="103" t="s">
        <v>34</v>
      </c>
      <c r="F136" s="103" t="s">
        <v>4</v>
      </c>
      <c r="I136" s="99">
        <v>3800</v>
      </c>
    </row>
    <row r="137" spans="1:11" s="99" customFormat="1" ht="15" customHeight="1" x14ac:dyDescent="0.15">
      <c r="A137" s="104" t="s">
        <v>5</v>
      </c>
      <c r="B137" s="104"/>
      <c r="C137" s="104"/>
      <c r="D137" s="105">
        <v>0</v>
      </c>
      <c r="E137" s="102">
        <v>0</v>
      </c>
      <c r="F137" s="102">
        <f>D137*E137</f>
        <v>0</v>
      </c>
      <c r="G137" s="106"/>
      <c r="H137" s="106"/>
      <c r="I137" s="106">
        <v>200</v>
      </c>
      <c r="J137" s="106">
        <v>27.5</v>
      </c>
      <c r="K137" s="106">
        <f>I137*J137</f>
        <v>5500</v>
      </c>
    </row>
    <row r="138" spans="1:11" s="99" customFormat="1" ht="15" customHeight="1" x14ac:dyDescent="0.15">
      <c r="A138" s="107" t="s">
        <v>35</v>
      </c>
      <c r="B138" s="108"/>
      <c r="C138" s="109"/>
      <c r="D138" s="109">
        <v>5000</v>
      </c>
      <c r="E138" s="102">
        <f>D132</f>
        <v>0</v>
      </c>
      <c r="F138" s="102">
        <f>D138*E138</f>
        <v>0</v>
      </c>
      <c r="I138" s="99">
        <v>3600</v>
      </c>
      <c r="J138" s="99">
        <v>30</v>
      </c>
      <c r="K138" s="106">
        <f>I138*J138</f>
        <v>108000</v>
      </c>
    </row>
    <row r="139" spans="1:11" s="99" customFormat="1" ht="15" customHeight="1" x14ac:dyDescent="0.15">
      <c r="A139" s="107" t="s">
        <v>53</v>
      </c>
      <c r="B139" s="108"/>
      <c r="C139" s="109"/>
      <c r="D139" s="102">
        <v>4500</v>
      </c>
      <c r="E139" s="102">
        <f>D132</f>
        <v>0</v>
      </c>
      <c r="F139" s="102">
        <f>D139*E139</f>
        <v>0</v>
      </c>
      <c r="K139" s="99">
        <f>SUM(K137:K138)</f>
        <v>113500</v>
      </c>
    </row>
    <row r="140" spans="1:11" s="99" customFormat="1" ht="15" customHeight="1" x14ac:dyDescent="0.15">
      <c r="A140" s="107" t="s">
        <v>13</v>
      </c>
      <c r="B140" s="108"/>
      <c r="C140" s="109"/>
      <c r="D140" s="102">
        <f>D138-D139</f>
        <v>500</v>
      </c>
      <c r="E140" s="102">
        <f>D132</f>
        <v>0</v>
      </c>
      <c r="F140" s="102">
        <f>D140*E140</f>
        <v>0</v>
      </c>
    </row>
    <row r="141" spans="1:11" s="99" customFormat="1" ht="15" customHeight="1" x14ac:dyDescent="0.15">
      <c r="A141" s="106"/>
      <c r="B141" s="106"/>
      <c r="C141" s="106"/>
      <c r="D141" s="106"/>
      <c r="E141" s="106"/>
      <c r="F141" s="106"/>
      <c r="G141" s="106"/>
      <c r="H141" s="106"/>
      <c r="I141" s="106"/>
      <c r="J141" s="106"/>
      <c r="K141" s="106"/>
    </row>
    <row r="142" spans="1:11" s="99" customFormat="1" ht="15" customHeight="1" x14ac:dyDescent="0.15">
      <c r="A142" s="101" t="s">
        <v>54</v>
      </c>
      <c r="B142" s="102"/>
      <c r="C142" s="102"/>
      <c r="D142" s="103" t="s">
        <v>2</v>
      </c>
      <c r="E142" s="103" t="s">
        <v>34</v>
      </c>
      <c r="F142" s="103" t="s">
        <v>4</v>
      </c>
    </row>
    <row r="143" spans="1:11" s="99" customFormat="1" ht="15" customHeight="1" x14ac:dyDescent="0.15">
      <c r="A143" s="104" t="s">
        <v>5</v>
      </c>
      <c r="B143" s="104"/>
      <c r="C143" s="104"/>
      <c r="D143" s="105">
        <v>200</v>
      </c>
      <c r="E143" s="102">
        <f>F143/D143</f>
        <v>275</v>
      </c>
      <c r="F143" s="102">
        <v>55000</v>
      </c>
      <c r="G143" s="106"/>
      <c r="H143" s="106"/>
      <c r="I143" s="106"/>
      <c r="J143" s="106"/>
      <c r="K143" s="106"/>
    </row>
    <row r="144" spans="1:11" s="99" customFormat="1" ht="15" customHeight="1" x14ac:dyDescent="0.15">
      <c r="A144" s="107" t="s">
        <v>35</v>
      </c>
      <c r="B144" s="108"/>
      <c r="C144" s="109"/>
      <c r="D144" s="109">
        <v>4000</v>
      </c>
      <c r="E144" s="102">
        <f>E132</f>
        <v>0</v>
      </c>
      <c r="F144" s="102">
        <f>D144*E144</f>
        <v>0</v>
      </c>
    </row>
    <row r="145" spans="1:11" s="99" customFormat="1" ht="15" customHeight="1" x14ac:dyDescent="0.15">
      <c r="A145" s="107" t="s">
        <v>53</v>
      </c>
      <c r="B145" s="108"/>
      <c r="C145" s="109"/>
      <c r="D145" s="102">
        <v>3800</v>
      </c>
      <c r="E145" s="110" t="s">
        <v>75</v>
      </c>
      <c r="F145" s="102">
        <f>(D143*E143)+(3600*E144)</f>
        <v>55000</v>
      </c>
    </row>
    <row r="146" spans="1:11" s="99" customFormat="1" ht="15" customHeight="1" x14ac:dyDescent="0.15">
      <c r="A146" s="107" t="s">
        <v>13</v>
      </c>
      <c r="B146" s="108"/>
      <c r="C146" s="109"/>
      <c r="D146" s="102">
        <f>D143+D144-D145</f>
        <v>400</v>
      </c>
      <c r="E146" s="102">
        <f>E144</f>
        <v>0</v>
      </c>
      <c r="F146" s="102">
        <f>D146*E146</f>
        <v>0</v>
      </c>
    </row>
    <row r="147" spans="1:11" s="99" customFormat="1" ht="15" customHeight="1" x14ac:dyDescent="0.15">
      <c r="A147" s="106"/>
      <c r="B147" s="106"/>
      <c r="C147" s="106"/>
      <c r="D147" s="106"/>
      <c r="E147" s="106"/>
      <c r="F147" s="106"/>
    </row>
    <row r="148" spans="1:11" s="99" customFormat="1" ht="15" customHeight="1" x14ac:dyDescent="0.15">
      <c r="A148" s="100" t="s">
        <v>39</v>
      </c>
    </row>
    <row r="149" spans="1:11" s="99" customFormat="1" ht="15" customHeight="1" x14ac:dyDescent="0.15">
      <c r="A149" s="100"/>
    </row>
    <row r="150" spans="1:11" s="99" customFormat="1" ht="15" customHeight="1" x14ac:dyDescent="0.15">
      <c r="A150" s="100"/>
      <c r="C150" s="111" t="s">
        <v>43</v>
      </c>
      <c r="D150" s="112"/>
      <c r="E150" s="111" t="s">
        <v>55</v>
      </c>
      <c r="F150" s="109"/>
    </row>
    <row r="151" spans="1:11" s="99" customFormat="1" ht="15" customHeight="1" x14ac:dyDescent="0.15">
      <c r="A151" s="113"/>
      <c r="B151" s="113"/>
      <c r="C151" s="114" t="s">
        <v>4</v>
      </c>
      <c r="D151" s="115" t="s">
        <v>40</v>
      </c>
      <c r="E151" s="114" t="s">
        <v>4</v>
      </c>
      <c r="F151" s="115" t="s">
        <v>40</v>
      </c>
      <c r="G151" s="113"/>
      <c r="H151" s="113"/>
      <c r="I151" s="113"/>
      <c r="J151" s="113"/>
      <c r="K151" s="113"/>
    </row>
    <row r="152" spans="1:11" s="99" customFormat="1" ht="15" customHeight="1" x14ac:dyDescent="0.15">
      <c r="A152" s="99" t="s">
        <v>16</v>
      </c>
      <c r="C152" s="116">
        <f>4500*50</f>
        <v>225000</v>
      </c>
      <c r="D152" s="117">
        <v>50</v>
      </c>
      <c r="E152" s="116">
        <f>3800*40</f>
        <v>152000</v>
      </c>
      <c r="F152" s="117">
        <v>40</v>
      </c>
    </row>
    <row r="153" spans="1:11" s="99" customFormat="1" ht="15" customHeight="1" x14ac:dyDescent="0.15">
      <c r="A153" s="99" t="s">
        <v>41</v>
      </c>
      <c r="C153" s="118">
        <f>-F139</f>
        <v>0</v>
      </c>
      <c r="D153" s="119">
        <v>36</v>
      </c>
      <c r="E153" s="118">
        <f>-F145</f>
        <v>-55000</v>
      </c>
      <c r="F153" s="119"/>
    </row>
    <row r="154" spans="1:11" s="99" customFormat="1" ht="15" customHeight="1" x14ac:dyDescent="0.15">
      <c r="A154" s="99" t="s">
        <v>42</v>
      </c>
      <c r="C154" s="118">
        <f>SUM(C152:C153)</f>
        <v>225000</v>
      </c>
      <c r="D154" s="119">
        <f>D152-D153</f>
        <v>14</v>
      </c>
      <c r="E154" s="118">
        <f>SUM(E152:E153)</f>
        <v>97000</v>
      </c>
      <c r="F154" s="119">
        <f>E154/3800</f>
        <v>25.526315789473685</v>
      </c>
    </row>
    <row r="155" spans="1:11" s="99" customFormat="1" ht="15" customHeight="1" x14ac:dyDescent="0.15"/>
    <row r="156" spans="1:11" s="99" customFormat="1" ht="15" customHeight="1" x14ac:dyDescent="0.15">
      <c r="A156" s="100" t="s">
        <v>26</v>
      </c>
      <c r="E156" s="99" t="s">
        <v>56</v>
      </c>
    </row>
    <row r="157" spans="1:11" s="99" customFormat="1" ht="15" customHeight="1" x14ac:dyDescent="0.15">
      <c r="A157" s="100"/>
    </row>
    <row r="158" spans="1:11" s="99" customFormat="1" ht="15" customHeight="1" x14ac:dyDescent="0.15">
      <c r="D158" s="100" t="s">
        <v>43</v>
      </c>
      <c r="E158" s="100" t="s">
        <v>44</v>
      </c>
    </row>
    <row r="159" spans="1:11" s="99" customFormat="1" ht="15" customHeight="1" x14ac:dyDescent="0.15">
      <c r="A159" s="99" t="s">
        <v>27</v>
      </c>
      <c r="D159" s="99">
        <f>F82</f>
        <v>0</v>
      </c>
      <c r="E159" s="99" t="str">
        <f>F83</f>
        <v>UNITARIO</v>
      </c>
    </row>
    <row r="160" spans="1:11" s="99" customFormat="1" ht="15" customHeight="1" x14ac:dyDescent="0.15">
      <c r="A160" s="99" t="s">
        <v>28</v>
      </c>
      <c r="D160" s="99">
        <f>D128</f>
        <v>0</v>
      </c>
      <c r="E160" s="99">
        <f>E128</f>
        <v>0</v>
      </c>
    </row>
    <row r="161" spans="1:11" s="99" customFormat="1" ht="15" customHeight="1" x14ac:dyDescent="0.15">
      <c r="A161" s="99" t="s">
        <v>29</v>
      </c>
      <c r="D161" s="99">
        <f>F112</f>
        <v>0</v>
      </c>
      <c r="E161" s="99">
        <f>F113</f>
        <v>0</v>
      </c>
    </row>
    <row r="162" spans="1:11" s="99" customFormat="1" ht="15" customHeight="1" x14ac:dyDescent="0.15">
      <c r="C162" s="100" t="s">
        <v>30</v>
      </c>
      <c r="D162" s="99">
        <f>SUM(D159:D161)</f>
        <v>0</v>
      </c>
      <c r="E162" s="99">
        <f>SUM(E159:E161)</f>
        <v>0</v>
      </c>
    </row>
    <row r="163" spans="1:11" s="99" customFormat="1" ht="15" customHeight="1" x14ac:dyDescent="0.15">
      <c r="A163" s="99" t="s">
        <v>31</v>
      </c>
      <c r="D163" s="99">
        <v>5000</v>
      </c>
      <c r="E163" s="99">
        <v>4000</v>
      </c>
    </row>
    <row r="164" spans="1:11" s="99" customFormat="1" ht="15" customHeight="1" x14ac:dyDescent="0.15">
      <c r="A164" s="99" t="s">
        <v>32</v>
      </c>
      <c r="D164" s="99">
        <f>D162/D163</f>
        <v>0</v>
      </c>
      <c r="E164" s="99">
        <f>E162/E163</f>
        <v>0</v>
      </c>
    </row>
    <row r="165" spans="1:11" s="99" customFormat="1" ht="15" customHeight="1" x14ac:dyDescent="0.15"/>
    <row r="166" spans="1:11" s="99" customFormat="1" ht="15" customHeight="1" x14ac:dyDescent="0.15">
      <c r="A166" s="100" t="s">
        <v>33</v>
      </c>
    </row>
    <row r="167" spans="1:11" s="99" customFormat="1" ht="15" customHeight="1" x14ac:dyDescent="0.15">
      <c r="A167" s="100"/>
    </row>
    <row r="168" spans="1:11" s="99" customFormat="1" ht="15" customHeight="1" x14ac:dyDescent="0.15">
      <c r="A168" s="101" t="s">
        <v>52</v>
      </c>
      <c r="B168" s="102"/>
      <c r="C168" s="102"/>
      <c r="D168" s="103" t="s">
        <v>2</v>
      </c>
      <c r="E168" s="103" t="s">
        <v>34</v>
      </c>
      <c r="F168" s="103" t="s">
        <v>4</v>
      </c>
    </row>
    <row r="169" spans="1:11" s="99" customFormat="1" ht="15" customHeight="1" x14ac:dyDescent="0.15">
      <c r="A169" s="104" t="s">
        <v>5</v>
      </c>
      <c r="B169" s="104"/>
      <c r="C169" s="104"/>
      <c r="D169" s="105">
        <v>0</v>
      </c>
      <c r="E169" s="102">
        <v>0</v>
      </c>
      <c r="F169" s="102">
        <f>D169*E169</f>
        <v>0</v>
      </c>
      <c r="G169" s="106"/>
      <c r="H169" s="106"/>
      <c r="I169" s="106"/>
      <c r="J169" s="106"/>
      <c r="K169" s="106"/>
    </row>
    <row r="170" spans="1:11" s="99" customFormat="1" ht="15" customHeight="1" x14ac:dyDescent="0.15">
      <c r="A170" s="107" t="s">
        <v>35</v>
      </c>
      <c r="B170" s="108"/>
      <c r="C170" s="109"/>
      <c r="D170" s="109">
        <v>5000</v>
      </c>
      <c r="E170" s="102">
        <f>D164</f>
        <v>0</v>
      </c>
      <c r="F170" s="102">
        <f>D170*E170</f>
        <v>0</v>
      </c>
    </row>
    <row r="171" spans="1:11" s="99" customFormat="1" ht="15" customHeight="1" x14ac:dyDescent="0.15">
      <c r="A171" s="107" t="s">
        <v>53</v>
      </c>
      <c r="B171" s="108"/>
      <c r="C171" s="109"/>
      <c r="D171" s="102">
        <v>4500</v>
      </c>
      <c r="E171" s="102">
        <f>D164</f>
        <v>0</v>
      </c>
      <c r="F171" s="102">
        <f>D171*E171</f>
        <v>0</v>
      </c>
    </row>
    <row r="172" spans="1:11" s="99" customFormat="1" ht="15" customHeight="1" x14ac:dyDescent="0.15">
      <c r="A172" s="107" t="s">
        <v>13</v>
      </c>
      <c r="B172" s="108"/>
      <c r="C172" s="109"/>
      <c r="D172" s="102">
        <f>D170-D171</f>
        <v>500</v>
      </c>
      <c r="E172" s="102">
        <f>D164</f>
        <v>0</v>
      </c>
      <c r="F172" s="102">
        <f>D172*E172</f>
        <v>0</v>
      </c>
    </row>
    <row r="173" spans="1:11" s="99" customFormat="1" ht="15" customHeight="1" x14ac:dyDescent="0.15">
      <c r="A173" s="106"/>
      <c r="B173" s="106"/>
      <c r="C173" s="106"/>
      <c r="D173" s="106"/>
      <c r="E173" s="106"/>
      <c r="F173" s="106"/>
      <c r="G173" s="106"/>
      <c r="H173" s="106"/>
      <c r="I173" s="106"/>
      <c r="J173" s="106"/>
      <c r="K173" s="106"/>
    </row>
    <row r="174" spans="1:11" s="99" customFormat="1" ht="15" customHeight="1" x14ac:dyDescent="0.15">
      <c r="A174" s="101" t="s">
        <v>54</v>
      </c>
      <c r="B174" s="102"/>
      <c r="C174" s="102"/>
      <c r="D174" s="103" t="s">
        <v>2</v>
      </c>
      <c r="E174" s="103" t="s">
        <v>34</v>
      </c>
      <c r="F174" s="103" t="s">
        <v>4</v>
      </c>
    </row>
    <row r="175" spans="1:11" s="99" customFormat="1" ht="15" customHeight="1" x14ac:dyDescent="0.15">
      <c r="A175" s="104" t="s">
        <v>5</v>
      </c>
      <c r="B175" s="104"/>
      <c r="C175" s="104"/>
      <c r="D175" s="105">
        <v>200</v>
      </c>
      <c r="E175" s="102">
        <f>F175/D175</f>
        <v>27.5</v>
      </c>
      <c r="F175" s="102">
        <v>5500</v>
      </c>
      <c r="G175" s="106"/>
      <c r="H175" s="106"/>
      <c r="I175" s="106"/>
      <c r="J175" s="106"/>
      <c r="K175" s="106"/>
    </row>
    <row r="176" spans="1:11" s="99" customFormat="1" ht="15" customHeight="1" x14ac:dyDescent="0.15">
      <c r="A176" s="107" t="s">
        <v>35</v>
      </c>
      <c r="B176" s="108"/>
      <c r="C176" s="109"/>
      <c r="D176" s="109">
        <v>4000</v>
      </c>
      <c r="E176" s="102">
        <f>E164</f>
        <v>0</v>
      </c>
      <c r="F176" s="102">
        <f>E162</f>
        <v>0</v>
      </c>
    </row>
    <row r="177" spans="1:11" s="99" customFormat="1" ht="15" customHeight="1" x14ac:dyDescent="0.15">
      <c r="A177" s="107" t="s">
        <v>53</v>
      </c>
      <c r="B177" s="108"/>
      <c r="C177" s="109"/>
      <c r="D177" s="102">
        <v>3800</v>
      </c>
      <c r="E177" s="110" t="s">
        <v>76</v>
      </c>
      <c r="F177" s="102">
        <f>(D175*E175)+(3600*E176)</f>
        <v>5500</v>
      </c>
    </row>
    <row r="178" spans="1:11" s="99" customFormat="1" ht="15" customHeight="1" x14ac:dyDescent="0.15">
      <c r="A178" s="107" t="s">
        <v>13</v>
      </c>
      <c r="B178" s="108"/>
      <c r="C178" s="109"/>
      <c r="D178" s="102">
        <f>D175+D176-D177</f>
        <v>400</v>
      </c>
      <c r="E178" s="102">
        <f>E176</f>
        <v>0</v>
      </c>
      <c r="F178" s="102">
        <f>D178*E178</f>
        <v>0</v>
      </c>
    </row>
    <row r="179" spans="1:11" s="99" customFormat="1" ht="15" customHeight="1" x14ac:dyDescent="0.15">
      <c r="A179" s="106"/>
      <c r="B179" s="106"/>
      <c r="C179" s="106"/>
      <c r="D179" s="106"/>
      <c r="E179" s="106"/>
      <c r="F179" s="106"/>
    </row>
    <row r="180" spans="1:11" s="99" customFormat="1" ht="15" customHeight="1" x14ac:dyDescent="0.15">
      <c r="A180" s="100" t="s">
        <v>39</v>
      </c>
    </row>
    <row r="181" spans="1:11" s="99" customFormat="1" ht="15" customHeight="1" x14ac:dyDescent="0.15">
      <c r="A181" s="100"/>
    </row>
    <row r="182" spans="1:11" s="99" customFormat="1" ht="15" customHeight="1" x14ac:dyDescent="0.15">
      <c r="A182" s="100"/>
      <c r="C182" s="111" t="s">
        <v>43</v>
      </c>
      <c r="D182" s="112"/>
      <c r="E182" s="111" t="s">
        <v>55</v>
      </c>
      <c r="F182" s="109"/>
    </row>
    <row r="183" spans="1:11" s="99" customFormat="1" ht="15" customHeight="1" x14ac:dyDescent="0.15">
      <c r="A183" s="113"/>
      <c r="B183" s="113"/>
      <c r="C183" s="114" t="s">
        <v>4</v>
      </c>
      <c r="D183" s="115" t="s">
        <v>40</v>
      </c>
      <c r="E183" s="114" t="s">
        <v>4</v>
      </c>
      <c r="F183" s="115" t="s">
        <v>40</v>
      </c>
      <c r="G183" s="113"/>
      <c r="H183" s="113"/>
      <c r="I183" s="113"/>
      <c r="J183" s="113"/>
      <c r="K183" s="113"/>
    </row>
    <row r="184" spans="1:11" s="99" customFormat="1" ht="15" customHeight="1" x14ac:dyDescent="0.15">
      <c r="A184" s="99" t="s">
        <v>16</v>
      </c>
      <c r="C184" s="116">
        <f>4500*50</f>
        <v>225000</v>
      </c>
      <c r="D184" s="117">
        <v>50</v>
      </c>
      <c r="E184" s="116">
        <f>3800*40</f>
        <v>152000</v>
      </c>
      <c r="F184" s="117">
        <v>40</v>
      </c>
    </row>
    <row r="185" spans="1:11" s="99" customFormat="1" ht="15" customHeight="1" x14ac:dyDescent="0.15">
      <c r="A185" s="99" t="s">
        <v>41</v>
      </c>
      <c r="C185" s="118">
        <f>-F171</f>
        <v>0</v>
      </c>
      <c r="D185" s="119"/>
      <c r="E185" s="118">
        <f>-F177</f>
        <v>-5500</v>
      </c>
      <c r="F185" s="119"/>
    </row>
    <row r="186" spans="1:11" s="99" customFormat="1" ht="15" customHeight="1" x14ac:dyDescent="0.15">
      <c r="A186" s="99" t="s">
        <v>42</v>
      </c>
      <c r="C186" s="118">
        <f>SUM(C184:C185)</f>
        <v>225000</v>
      </c>
      <c r="D186" s="119">
        <f>D184-D185</f>
        <v>50</v>
      </c>
      <c r="E186" s="118">
        <f>SUM(E184:E185)</f>
        <v>146500</v>
      </c>
      <c r="F186" s="119">
        <f>E186/3800</f>
        <v>38.55263157894737</v>
      </c>
    </row>
    <row r="187" spans="1:11" s="99" customFormat="1" ht="15" customHeight="1" x14ac:dyDescent="0.15"/>
    <row r="188" spans="1:11" s="99" customFormat="1" ht="15" customHeight="1" x14ac:dyDescent="0.15"/>
    <row r="189" spans="1:11" s="99" customFormat="1" ht="15" customHeight="1" x14ac:dyDescent="0.15"/>
    <row r="190" spans="1:11" s="99" customFormat="1" ht="15" customHeight="1" x14ac:dyDescent="0.15"/>
    <row r="191" spans="1:11" s="99" customFormat="1" ht="15" customHeight="1" x14ac:dyDescent="0.15"/>
    <row r="192" spans="1:11" s="99" customFormat="1" ht="15" customHeight="1" x14ac:dyDescent="0.15"/>
    <row r="193" s="99" customFormat="1" ht="15" customHeight="1" x14ac:dyDescent="0.15"/>
    <row r="194" s="99" customFormat="1" ht="15" customHeight="1" x14ac:dyDescent="0.15"/>
    <row r="195" s="99" customFormat="1" ht="15" customHeight="1" x14ac:dyDescent="0.15"/>
    <row r="196" s="99" customFormat="1" ht="15" customHeight="1" x14ac:dyDescent="0.15"/>
    <row r="197" s="99" customFormat="1" ht="15" customHeight="1" x14ac:dyDescent="0.15"/>
    <row r="198" s="99" customFormat="1" ht="15" customHeight="1" x14ac:dyDescent="0.15"/>
    <row r="199" s="99" customFormat="1" ht="15" customHeight="1" x14ac:dyDescent="0.15"/>
    <row r="200" s="99" customFormat="1" ht="15" customHeight="1" x14ac:dyDescent="0.15"/>
    <row r="201" s="99" customFormat="1" ht="15" customHeight="1" x14ac:dyDescent="0.15"/>
    <row r="202" s="99" customFormat="1" ht="15" customHeight="1" x14ac:dyDescent="0.15"/>
    <row r="203" s="99" customFormat="1" ht="15" customHeight="1" x14ac:dyDescent="0.15"/>
    <row r="204" s="99" customFormat="1" ht="15" customHeight="1" x14ac:dyDescent="0.15"/>
    <row r="205" s="99" customFormat="1" ht="15" customHeight="1" x14ac:dyDescent="0.15"/>
    <row r="206" s="99" customFormat="1" ht="15" customHeight="1" x14ac:dyDescent="0.15"/>
    <row r="207" s="99" customFormat="1" ht="15" customHeight="1" x14ac:dyDescent="0.15"/>
    <row r="208" s="99" customFormat="1" ht="15" customHeight="1" x14ac:dyDescent="0.15"/>
    <row r="209" s="99" customFormat="1" ht="15" customHeight="1" x14ac:dyDescent="0.15"/>
    <row r="210" s="99" customFormat="1" ht="15" customHeight="1" x14ac:dyDescent="0.15"/>
    <row r="211" s="99" customFormat="1" ht="15" customHeight="1" x14ac:dyDescent="0.15"/>
    <row r="212" s="99" customFormat="1" ht="15" customHeight="1" x14ac:dyDescent="0.15"/>
    <row r="213" s="99" customFormat="1" ht="15" customHeight="1" x14ac:dyDescent="0.15"/>
    <row r="214" s="99" customFormat="1" ht="15" customHeight="1" x14ac:dyDescent="0.15"/>
    <row r="215" s="99" customFormat="1" ht="15" customHeight="1" x14ac:dyDescent="0.15"/>
    <row r="216" s="99" customFormat="1" ht="15" customHeight="1" x14ac:dyDescent="0.15"/>
    <row r="217" s="99" customFormat="1" ht="15" customHeight="1" x14ac:dyDescent="0.15"/>
    <row r="218" s="99" customFormat="1" ht="15" customHeight="1" x14ac:dyDescent="0.15"/>
    <row r="219" s="99" customFormat="1" ht="15" customHeight="1" x14ac:dyDescent="0.15"/>
    <row r="220" s="99" customFormat="1" ht="15" customHeight="1" x14ac:dyDescent="0.15"/>
    <row r="221" s="99" customFormat="1" ht="15" customHeight="1" x14ac:dyDescent="0.15"/>
    <row r="222" s="99" customFormat="1" ht="15" customHeight="1" x14ac:dyDescent="0.15"/>
    <row r="223" s="99" customFormat="1" ht="15" customHeight="1" x14ac:dyDescent="0.15"/>
    <row r="224" s="99" customFormat="1" ht="15" customHeight="1" x14ac:dyDescent="0.15"/>
    <row r="225" s="99" customFormat="1" ht="15" customHeight="1" x14ac:dyDescent="0.15"/>
    <row r="226" s="99" customFormat="1" ht="15" customHeight="1" x14ac:dyDescent="0.15"/>
    <row r="227" s="99" customFormat="1" ht="15" customHeight="1" x14ac:dyDescent="0.15"/>
    <row r="228" s="99" customFormat="1" ht="15" customHeight="1" x14ac:dyDescent="0.15"/>
    <row r="229" s="99" customFormat="1" ht="15" customHeight="1" x14ac:dyDescent="0.15"/>
    <row r="230" s="99" customFormat="1" ht="15" customHeight="1" x14ac:dyDescent="0.15"/>
    <row r="231" s="99" customFormat="1" ht="15" customHeight="1" x14ac:dyDescent="0.15"/>
    <row r="232" s="99" customFormat="1" ht="15" customHeight="1" x14ac:dyDescent="0.15"/>
    <row r="233" s="99" customFormat="1" ht="15" customHeight="1" x14ac:dyDescent="0.15"/>
    <row r="234" s="99" customFormat="1" ht="15" customHeight="1" x14ac:dyDescent="0.15"/>
    <row r="235" s="99" customFormat="1" ht="15" customHeight="1" x14ac:dyDescent="0.15"/>
    <row r="236" s="99" customFormat="1" ht="15" customHeight="1" x14ac:dyDescent="0.15"/>
    <row r="237" s="99" customFormat="1" ht="15" customHeight="1" x14ac:dyDescent="0.15"/>
    <row r="238" s="99" customFormat="1" ht="15" customHeight="1" x14ac:dyDescent="0.15"/>
    <row r="239" s="99" customFormat="1" ht="15" customHeight="1" x14ac:dyDescent="0.15"/>
    <row r="240" s="99" customFormat="1" ht="15" customHeight="1" x14ac:dyDescent="0.15"/>
    <row r="241" s="99" customFormat="1" ht="15" customHeight="1" x14ac:dyDescent="0.15"/>
    <row r="242" s="99" customFormat="1" ht="15" customHeight="1" x14ac:dyDescent="0.15"/>
    <row r="243" s="99" customFormat="1" ht="15" customHeight="1" x14ac:dyDescent="0.15"/>
    <row r="244" s="99" customFormat="1" ht="15" customHeight="1" x14ac:dyDescent="0.15"/>
    <row r="245" s="99" customFormat="1" ht="15" customHeight="1" x14ac:dyDescent="0.15"/>
    <row r="246" s="99" customFormat="1" ht="15" customHeight="1" x14ac:dyDescent="0.15"/>
    <row r="247" s="99" customFormat="1" ht="15" customHeight="1" x14ac:dyDescent="0.15"/>
    <row r="248" s="99" customFormat="1" ht="15" customHeight="1" x14ac:dyDescent="0.15"/>
    <row r="249" s="99" customFormat="1" ht="15" customHeight="1" x14ac:dyDescent="0.15"/>
    <row r="250" s="99" customFormat="1" ht="15" customHeight="1" x14ac:dyDescent="0.15"/>
    <row r="251" s="99" customFormat="1" ht="15" customHeight="1" x14ac:dyDescent="0.15"/>
    <row r="252" s="99" customFormat="1" ht="15" customHeight="1" x14ac:dyDescent="0.15"/>
    <row r="253" s="99" customFormat="1" ht="15" customHeight="1" x14ac:dyDescent="0.15"/>
    <row r="254" s="99" customFormat="1" ht="15" customHeight="1" x14ac:dyDescent="0.15"/>
    <row r="255" s="99" customFormat="1" ht="15" customHeight="1" x14ac:dyDescent="0.15"/>
    <row r="256" s="99" customFormat="1" ht="15" customHeight="1" x14ac:dyDescent="0.15"/>
    <row r="257" s="99" customFormat="1" ht="15" customHeight="1" x14ac:dyDescent="0.15"/>
    <row r="258" s="99" customFormat="1" ht="15" customHeight="1" x14ac:dyDescent="0.15"/>
    <row r="259" s="99" customFormat="1" ht="15" customHeight="1" x14ac:dyDescent="0.15"/>
    <row r="260" s="99" customFormat="1" ht="15" customHeight="1" x14ac:dyDescent="0.15"/>
    <row r="261" s="99" customFormat="1" ht="15" customHeight="1" x14ac:dyDescent="0.15"/>
    <row r="262" s="99" customFormat="1" ht="15" customHeight="1" x14ac:dyDescent="0.15"/>
    <row r="263" s="99" customFormat="1" ht="15" customHeight="1" x14ac:dyDescent="0.15"/>
    <row r="264" s="99" customFormat="1" ht="15" customHeight="1" x14ac:dyDescent="0.15"/>
    <row r="265" s="99" customFormat="1" ht="15" customHeight="1" x14ac:dyDescent="0.15"/>
    <row r="266" s="99" customFormat="1" ht="15" customHeight="1" x14ac:dyDescent="0.15"/>
    <row r="267" s="99" customFormat="1" ht="15" customHeight="1" x14ac:dyDescent="0.15"/>
    <row r="268" s="99" customFormat="1" ht="15" customHeight="1" x14ac:dyDescent="0.15"/>
    <row r="269" s="99" customFormat="1" ht="15" customHeight="1" x14ac:dyDescent="0.15"/>
    <row r="270" s="99" customFormat="1" ht="15" customHeight="1" x14ac:dyDescent="0.15"/>
    <row r="271" s="99" customFormat="1" ht="15" customHeight="1" x14ac:dyDescent="0.15"/>
    <row r="272" s="99" customFormat="1" ht="15" customHeight="1" x14ac:dyDescent="0.15"/>
    <row r="273" s="99" customFormat="1" ht="15" customHeight="1" x14ac:dyDescent="0.15"/>
    <row r="274" s="99" customFormat="1" ht="15" customHeight="1" x14ac:dyDescent="0.15"/>
    <row r="275" s="99" customFormat="1" ht="15" customHeight="1" x14ac:dyDescent="0.15"/>
    <row r="276" s="99" customFormat="1" ht="15" customHeight="1" x14ac:dyDescent="0.15"/>
    <row r="277" s="99" customFormat="1" ht="15" customHeight="1" x14ac:dyDescent="0.15"/>
    <row r="278" s="99" customFormat="1" ht="15" customHeight="1" x14ac:dyDescent="0.15"/>
    <row r="279" s="99" customFormat="1" ht="15" customHeight="1" x14ac:dyDescent="0.15"/>
    <row r="280" s="99" customFormat="1" ht="15" customHeight="1" x14ac:dyDescent="0.15"/>
    <row r="281" s="99" customFormat="1" ht="15" customHeight="1" x14ac:dyDescent="0.15"/>
    <row r="282" s="99" customFormat="1" ht="15" customHeight="1" x14ac:dyDescent="0.15"/>
    <row r="283" s="99" customFormat="1" ht="15" customHeight="1" x14ac:dyDescent="0.15"/>
    <row r="284" s="99" customFormat="1" ht="15" customHeight="1" x14ac:dyDescent="0.15"/>
    <row r="285" s="99" customFormat="1" ht="15" customHeight="1" x14ac:dyDescent="0.15"/>
    <row r="286" s="99" customFormat="1" ht="15" customHeight="1" x14ac:dyDescent="0.15"/>
    <row r="287" s="99" customFormat="1" ht="15" customHeight="1" x14ac:dyDescent="0.15"/>
    <row r="288" s="99" customFormat="1" ht="15" customHeight="1" x14ac:dyDescent="0.15"/>
    <row r="289" s="99" customFormat="1" ht="15" customHeight="1" x14ac:dyDescent="0.15"/>
    <row r="290" s="99" customFormat="1" ht="15" customHeight="1" x14ac:dyDescent="0.15"/>
    <row r="291" s="99" customFormat="1" ht="15" customHeight="1" x14ac:dyDescent="0.15"/>
    <row r="292" s="99" customFormat="1" ht="15" customHeight="1" x14ac:dyDescent="0.15"/>
    <row r="293" s="99" customFormat="1" ht="15" customHeight="1" x14ac:dyDescent="0.15"/>
    <row r="294" s="99" customFormat="1" ht="15" customHeight="1" x14ac:dyDescent="0.15"/>
    <row r="295" s="99" customFormat="1" ht="15" customHeight="1" x14ac:dyDescent="0.15"/>
    <row r="296" s="99" customFormat="1" ht="15" customHeight="1" x14ac:dyDescent="0.15"/>
  </sheetData>
  <phoneticPr fontId="0" type="noConversion"/>
  <pageMargins left="0.75" right="0.75" top="1" bottom="1" header="0" footer="0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79"/>
  <sheetViews>
    <sheetView topLeftCell="A36" zoomScale="130" zoomScaleNormal="130" workbookViewId="0">
      <selection activeCell="A36" sqref="A36"/>
    </sheetView>
  </sheetViews>
  <sheetFormatPr baseColWidth="10" defaultRowHeight="13" x14ac:dyDescent="0.15"/>
  <cols>
    <col min="1" max="1" width="33.5" bestFit="1" customWidth="1"/>
    <col min="2" max="3" width="14.33203125" bestFit="1" customWidth="1"/>
    <col min="4" max="4" width="9.83203125" bestFit="1" customWidth="1"/>
    <col min="5" max="5" width="14.33203125" bestFit="1" customWidth="1"/>
    <col min="7" max="7" width="32.5" bestFit="1" customWidth="1"/>
  </cols>
  <sheetData>
    <row r="1" spans="1:12" ht="15" x14ac:dyDescent="0.2">
      <c r="A1" s="130" t="s">
        <v>122</v>
      </c>
      <c r="B1" s="130" t="s">
        <v>123</v>
      </c>
      <c r="C1" s="130" t="s">
        <v>124</v>
      </c>
      <c r="D1" s="130" t="s">
        <v>125</v>
      </c>
      <c r="E1" s="131"/>
      <c r="F1" s="131"/>
      <c r="G1" s="131"/>
    </row>
    <row r="2" spans="1:12" ht="15" x14ac:dyDescent="0.2">
      <c r="A2" s="130" t="s">
        <v>126</v>
      </c>
      <c r="B2" s="132" t="s">
        <v>127</v>
      </c>
      <c r="C2" s="130" t="s">
        <v>128</v>
      </c>
      <c r="D2" s="133">
        <v>7500</v>
      </c>
      <c r="E2" s="131"/>
      <c r="F2" s="131"/>
      <c r="G2" s="131"/>
    </row>
    <row r="3" spans="1:12" ht="15" x14ac:dyDescent="0.2">
      <c r="A3" s="130" t="s">
        <v>129</v>
      </c>
      <c r="B3" s="132" t="s">
        <v>130</v>
      </c>
      <c r="C3" s="130" t="s">
        <v>131</v>
      </c>
      <c r="D3" s="133">
        <v>12500</v>
      </c>
      <c r="E3" s="131"/>
      <c r="F3" s="131"/>
      <c r="G3" s="131"/>
    </row>
    <row r="4" spans="1:12" ht="15" x14ac:dyDescent="0.2">
      <c r="A4" s="130" t="s">
        <v>132</v>
      </c>
      <c r="B4" s="130" t="s">
        <v>133</v>
      </c>
      <c r="C4" s="130" t="s">
        <v>134</v>
      </c>
      <c r="D4" s="134">
        <v>600</v>
      </c>
      <c r="E4" s="131"/>
      <c r="F4" s="131"/>
      <c r="G4" s="131"/>
    </row>
    <row r="5" spans="1:12" ht="15" x14ac:dyDescent="0.2">
      <c r="A5" s="130" t="s">
        <v>135</v>
      </c>
      <c r="B5" s="130" t="s">
        <v>136</v>
      </c>
      <c r="C5" s="130" t="s">
        <v>137</v>
      </c>
      <c r="D5" s="134">
        <v>1050</v>
      </c>
      <c r="E5" s="131"/>
      <c r="F5" s="131"/>
      <c r="G5" s="131"/>
    </row>
    <row r="6" spans="1:12" ht="15" x14ac:dyDescent="0.2">
      <c r="A6" s="130" t="s">
        <v>138</v>
      </c>
      <c r="B6" s="130"/>
      <c r="C6" s="135">
        <v>15000</v>
      </c>
      <c r="D6" s="130"/>
      <c r="E6" s="131"/>
      <c r="F6" s="131"/>
      <c r="G6" s="131"/>
      <c r="I6" s="59"/>
      <c r="J6" s="59"/>
      <c r="L6" s="59"/>
    </row>
    <row r="7" spans="1:12" ht="15" x14ac:dyDescent="0.2">
      <c r="A7" s="130" t="s">
        <v>139</v>
      </c>
      <c r="B7" s="130"/>
      <c r="C7" s="135">
        <v>600</v>
      </c>
      <c r="D7" s="130"/>
      <c r="E7" s="131"/>
      <c r="F7" s="131"/>
      <c r="G7" s="131"/>
      <c r="J7" s="59"/>
    </row>
    <row r="8" spans="1:12" ht="15" x14ac:dyDescent="0.2">
      <c r="A8" s="130" t="s">
        <v>140</v>
      </c>
      <c r="B8" s="130"/>
      <c r="C8" s="135">
        <v>2500</v>
      </c>
      <c r="D8" s="130"/>
      <c r="E8" s="131"/>
      <c r="F8" s="131"/>
      <c r="G8" s="131"/>
    </row>
    <row r="9" spans="1:12" ht="15" x14ac:dyDescent="0.2">
      <c r="A9" s="130" t="s">
        <v>141</v>
      </c>
      <c r="B9" s="130"/>
      <c r="C9" s="135">
        <v>1200</v>
      </c>
      <c r="D9" s="130"/>
      <c r="E9" s="131"/>
      <c r="F9" s="131"/>
      <c r="G9" s="131"/>
    </row>
    <row r="10" spans="1:12" ht="15" x14ac:dyDescent="0.2">
      <c r="A10" s="131"/>
      <c r="B10" s="131"/>
      <c r="C10" s="131"/>
      <c r="D10" s="131"/>
      <c r="E10" s="131">
        <f>D2+D3+D4+D5+C6+C7+C8+C9</f>
        <v>40950</v>
      </c>
      <c r="F10" s="131"/>
      <c r="G10" s="131"/>
    </row>
    <row r="11" spans="1:12" ht="15" x14ac:dyDescent="0.2">
      <c r="A11" s="131" t="s">
        <v>142</v>
      </c>
      <c r="B11" s="450" t="s">
        <v>143</v>
      </c>
      <c r="C11" s="450"/>
      <c r="D11" s="450"/>
      <c r="E11" s="131"/>
      <c r="F11" s="131"/>
      <c r="G11" s="131"/>
    </row>
    <row r="12" spans="1:12" ht="15" x14ac:dyDescent="0.2">
      <c r="A12" s="131"/>
      <c r="B12" s="131"/>
      <c r="C12" s="131"/>
      <c r="D12" s="131"/>
      <c r="E12" s="131"/>
      <c r="F12" s="131"/>
      <c r="G12" s="131"/>
    </row>
    <row r="13" spans="1:12" ht="15" x14ac:dyDescent="0.2">
      <c r="A13" s="131" t="s">
        <v>144</v>
      </c>
      <c r="B13" s="450" t="s">
        <v>145</v>
      </c>
      <c r="C13" s="450"/>
      <c r="D13" s="450"/>
      <c r="E13" s="131"/>
      <c r="F13" s="131"/>
      <c r="G13" s="131"/>
    </row>
    <row r="14" spans="1:12" ht="15" x14ac:dyDescent="0.2">
      <c r="A14" s="131"/>
      <c r="B14" s="131"/>
      <c r="C14" s="131"/>
      <c r="D14" s="131"/>
      <c r="E14" s="131"/>
      <c r="F14" s="131"/>
      <c r="G14" s="131"/>
    </row>
    <row r="15" spans="1:12" ht="32" x14ac:dyDescent="0.2">
      <c r="A15" s="137" t="s">
        <v>146</v>
      </c>
      <c r="B15" s="138" t="s">
        <v>147</v>
      </c>
      <c r="C15" s="138" t="s">
        <v>148</v>
      </c>
      <c r="D15" s="131"/>
      <c r="E15" s="131"/>
      <c r="F15" s="131"/>
      <c r="G15" s="131"/>
    </row>
    <row r="16" spans="1:12" ht="15" x14ac:dyDescent="0.2">
      <c r="A16" s="130" t="s">
        <v>126</v>
      </c>
      <c r="B16" s="130" t="s">
        <v>47</v>
      </c>
      <c r="C16" s="130" t="s">
        <v>149</v>
      </c>
      <c r="D16" s="131"/>
      <c r="E16" s="131"/>
      <c r="F16" s="131"/>
      <c r="G16" s="131"/>
    </row>
    <row r="17" spans="1:7" ht="15" x14ac:dyDescent="0.2">
      <c r="A17" s="130" t="s">
        <v>129</v>
      </c>
      <c r="B17" s="130" t="s">
        <v>47</v>
      </c>
      <c r="C17" s="130" t="s">
        <v>149</v>
      </c>
      <c r="D17" s="131"/>
      <c r="E17" s="131"/>
      <c r="F17" s="131"/>
      <c r="G17" s="131"/>
    </row>
    <row r="18" spans="1:7" ht="15" x14ac:dyDescent="0.2">
      <c r="A18" s="130" t="s">
        <v>132</v>
      </c>
      <c r="B18" s="130" t="s">
        <v>150</v>
      </c>
      <c r="C18" s="130" t="s">
        <v>149</v>
      </c>
      <c r="D18" s="131"/>
      <c r="E18" s="131"/>
      <c r="F18" s="131"/>
      <c r="G18" s="131"/>
    </row>
    <row r="19" spans="1:7" ht="15" x14ac:dyDescent="0.2">
      <c r="A19" s="130" t="s">
        <v>135</v>
      </c>
      <c r="B19" s="130" t="s">
        <v>150</v>
      </c>
      <c r="C19" s="130" t="s">
        <v>149</v>
      </c>
      <c r="D19" s="131"/>
      <c r="E19" s="131"/>
      <c r="F19" s="131"/>
      <c r="G19" s="131"/>
    </row>
    <row r="20" spans="1:7" ht="15" x14ac:dyDescent="0.2">
      <c r="A20" s="131"/>
      <c r="B20" s="139"/>
      <c r="C20" s="139"/>
      <c r="D20" s="131"/>
      <c r="E20" s="131"/>
      <c r="F20" s="131"/>
      <c r="G20" s="131"/>
    </row>
    <row r="21" spans="1:7" ht="15" x14ac:dyDescent="0.2">
      <c r="A21" s="131"/>
      <c r="B21" s="131"/>
      <c r="C21" s="131"/>
      <c r="D21" s="131"/>
      <c r="E21" s="131"/>
      <c r="F21" s="131"/>
      <c r="G21" s="131"/>
    </row>
    <row r="22" spans="1:7" ht="15" x14ac:dyDescent="0.2">
      <c r="A22" s="130" t="s">
        <v>151</v>
      </c>
      <c r="B22" s="130" t="s">
        <v>149</v>
      </c>
      <c r="C22" s="131"/>
      <c r="D22" s="131"/>
      <c r="E22" s="131"/>
      <c r="F22" s="131"/>
      <c r="G22" s="131"/>
    </row>
    <row r="23" spans="1:7" ht="15" x14ac:dyDescent="0.2">
      <c r="A23" s="130" t="s">
        <v>152</v>
      </c>
      <c r="B23" s="135">
        <v>15000</v>
      </c>
      <c r="C23" s="131"/>
      <c r="D23" s="131"/>
      <c r="E23" s="131"/>
      <c r="F23" s="131"/>
      <c r="G23" s="131"/>
    </row>
    <row r="24" spans="1:7" ht="15" x14ac:dyDescent="0.2">
      <c r="A24" s="130" t="s">
        <v>139</v>
      </c>
      <c r="B24" s="135">
        <v>600</v>
      </c>
      <c r="C24" s="131"/>
      <c r="D24" s="131"/>
      <c r="E24" s="131"/>
      <c r="F24" s="131"/>
      <c r="G24" s="131"/>
    </row>
    <row r="25" spans="1:7" ht="15" x14ac:dyDescent="0.2">
      <c r="A25" s="130" t="s">
        <v>153</v>
      </c>
      <c r="B25" s="135">
        <v>2500</v>
      </c>
      <c r="C25" s="131"/>
      <c r="D25" s="131"/>
      <c r="E25" s="131"/>
      <c r="F25" s="131"/>
      <c r="G25" s="131"/>
    </row>
    <row r="26" spans="1:7" ht="15" x14ac:dyDescent="0.2">
      <c r="A26" s="130" t="s">
        <v>154</v>
      </c>
      <c r="B26" s="135">
        <v>1200</v>
      </c>
      <c r="C26" s="131"/>
      <c r="D26" s="131"/>
      <c r="E26" s="131"/>
      <c r="F26" s="131"/>
      <c r="G26" s="131"/>
    </row>
    <row r="27" spans="1:7" ht="15" x14ac:dyDescent="0.2">
      <c r="A27" s="131" t="s">
        <v>155</v>
      </c>
      <c r="B27" s="140">
        <f>SUM(B23:B26)</f>
        <v>19300</v>
      </c>
      <c r="C27" s="131"/>
      <c r="D27" s="131"/>
      <c r="E27" s="131"/>
      <c r="F27" s="131"/>
      <c r="G27" s="131"/>
    </row>
    <row r="28" spans="1:7" ht="15" x14ac:dyDescent="0.2">
      <c r="A28" s="130" t="s">
        <v>156</v>
      </c>
      <c r="B28" s="141">
        <f>300+500</f>
        <v>800</v>
      </c>
      <c r="C28" s="131"/>
      <c r="D28" s="131"/>
      <c r="E28" s="131"/>
      <c r="F28" s="131"/>
      <c r="G28" s="131"/>
    </row>
    <row r="29" spans="1:7" ht="15" x14ac:dyDescent="0.2">
      <c r="A29" s="130" t="s">
        <v>157</v>
      </c>
      <c r="B29" s="142">
        <f>B27/B28</f>
        <v>24.125</v>
      </c>
      <c r="C29" s="131"/>
      <c r="D29" s="131"/>
      <c r="E29" s="131"/>
      <c r="F29" s="131"/>
      <c r="G29" s="131"/>
    </row>
    <row r="30" spans="1:7" ht="15" x14ac:dyDescent="0.2">
      <c r="A30" s="131"/>
      <c r="B30" s="131"/>
      <c r="C30" s="131"/>
      <c r="D30" s="131"/>
      <c r="E30" s="131"/>
      <c r="F30" s="131"/>
      <c r="G30" s="131"/>
    </row>
    <row r="31" spans="1:7" ht="15" x14ac:dyDescent="0.2">
      <c r="A31" s="131"/>
      <c r="B31" s="131"/>
      <c r="C31" s="131"/>
      <c r="D31" s="131"/>
      <c r="E31" s="131"/>
      <c r="F31" s="131"/>
      <c r="G31" s="131"/>
    </row>
    <row r="32" spans="1:7" ht="32" x14ac:dyDescent="0.2">
      <c r="A32" s="143" t="s">
        <v>158</v>
      </c>
      <c r="B32" s="138" t="s">
        <v>159</v>
      </c>
      <c r="C32" s="138" t="s">
        <v>160</v>
      </c>
      <c r="D32" s="137" t="s">
        <v>4</v>
      </c>
      <c r="E32" s="131"/>
      <c r="F32" s="131"/>
      <c r="G32" s="131"/>
    </row>
    <row r="33" spans="1:7" ht="15" x14ac:dyDescent="0.2">
      <c r="A33" s="130" t="s">
        <v>117</v>
      </c>
      <c r="B33" s="133">
        <f>D2</f>
        <v>7500</v>
      </c>
      <c r="C33" s="133">
        <f>D3</f>
        <v>12500</v>
      </c>
      <c r="D33" s="135">
        <f>B33+C33</f>
        <v>20000</v>
      </c>
      <c r="E33" s="131"/>
      <c r="F33" s="131"/>
      <c r="G33" s="131"/>
    </row>
    <row r="34" spans="1:7" ht="15" x14ac:dyDescent="0.2">
      <c r="A34" s="130" t="s">
        <v>161</v>
      </c>
      <c r="B34" s="134">
        <f>D4</f>
        <v>600</v>
      </c>
      <c r="C34" s="134">
        <f>D5</f>
        <v>1050</v>
      </c>
      <c r="D34" s="135">
        <f>B34+C34</f>
        <v>1650</v>
      </c>
      <c r="E34" s="131"/>
      <c r="F34" s="131"/>
      <c r="G34" s="131"/>
    </row>
    <row r="35" spans="1:7" ht="15" x14ac:dyDescent="0.2">
      <c r="A35" s="130" t="s">
        <v>162</v>
      </c>
      <c r="B35" s="130">
        <f>SUM(B33:B34)</f>
        <v>8100</v>
      </c>
      <c r="C35" s="130">
        <f>SUM(C33:C34)</f>
        <v>13550</v>
      </c>
      <c r="D35" s="135">
        <f>D33+D34</f>
        <v>21650</v>
      </c>
      <c r="E35" s="131"/>
      <c r="F35" s="131"/>
      <c r="G35" s="131"/>
    </row>
    <row r="36" spans="1:7" ht="15" x14ac:dyDescent="0.2">
      <c r="A36" s="130" t="s">
        <v>163</v>
      </c>
      <c r="B36" s="130">
        <f>300*B29</f>
        <v>7237.5</v>
      </c>
      <c r="C36" s="130">
        <f>500*B29</f>
        <v>12062.5</v>
      </c>
      <c r="D36" s="144">
        <f>B36+C36</f>
        <v>19300</v>
      </c>
      <c r="E36" s="131"/>
      <c r="F36" s="131"/>
      <c r="G36" s="131"/>
    </row>
    <row r="37" spans="1:7" ht="15" x14ac:dyDescent="0.2">
      <c r="A37" s="130" t="s">
        <v>164</v>
      </c>
      <c r="B37" s="130">
        <f>B33+B34+B36</f>
        <v>15337.5</v>
      </c>
      <c r="C37" s="130">
        <f>C33+C34+C36</f>
        <v>25612.5</v>
      </c>
      <c r="D37" s="135">
        <f>SUM(B37:C37)</f>
        <v>40950</v>
      </c>
      <c r="E37" s="131"/>
      <c r="F37" s="131"/>
      <c r="G37" s="131"/>
    </row>
    <row r="38" spans="1:7" ht="15" x14ac:dyDescent="0.2">
      <c r="A38" s="131"/>
      <c r="B38" s="131"/>
      <c r="C38" s="131"/>
      <c r="D38" s="131"/>
      <c r="E38" s="131"/>
      <c r="F38" s="131"/>
      <c r="G38" s="131"/>
    </row>
    <row r="39" spans="1:7" ht="15" x14ac:dyDescent="0.2">
      <c r="A39" s="131"/>
      <c r="B39" s="131"/>
      <c r="C39" s="131"/>
      <c r="D39" s="131"/>
      <c r="E39" s="131"/>
      <c r="F39" s="131"/>
      <c r="G39" s="131"/>
    </row>
    <row r="40" spans="1:7" ht="15" x14ac:dyDescent="0.2">
      <c r="A40" s="131"/>
      <c r="B40" s="131"/>
      <c r="C40" s="131"/>
      <c r="D40" s="131"/>
      <c r="E40" s="131"/>
      <c r="F40" s="131"/>
      <c r="G40" s="131"/>
    </row>
    <row r="41" spans="1:7" ht="32" x14ac:dyDescent="0.2">
      <c r="A41" s="138" t="s">
        <v>66</v>
      </c>
      <c r="B41" s="138" t="s">
        <v>159</v>
      </c>
      <c r="C41" s="138" t="s">
        <v>160</v>
      </c>
      <c r="D41" s="137" t="s">
        <v>4</v>
      </c>
      <c r="E41" s="131"/>
      <c r="F41" s="131"/>
      <c r="G41" s="131"/>
    </row>
    <row r="42" spans="1:7" ht="15" x14ac:dyDescent="0.2">
      <c r="A42" s="130" t="s">
        <v>165</v>
      </c>
      <c r="B42" s="135">
        <v>22000</v>
      </c>
      <c r="C42" s="135">
        <v>30000</v>
      </c>
      <c r="D42" s="135">
        <f>SUM(B42:C42)</f>
        <v>52000</v>
      </c>
      <c r="E42" s="131"/>
      <c r="F42" s="131"/>
      <c r="G42" s="131"/>
    </row>
    <row r="43" spans="1:7" ht="15" x14ac:dyDescent="0.2">
      <c r="A43" s="130" t="s">
        <v>166</v>
      </c>
      <c r="B43" s="130">
        <f>-B37</f>
        <v>-15337.5</v>
      </c>
      <c r="C43" s="130">
        <f>-C37</f>
        <v>-25612.5</v>
      </c>
      <c r="D43" s="135">
        <f>SUM(B43:C43)</f>
        <v>-40950</v>
      </c>
      <c r="E43" s="131"/>
      <c r="F43" s="131"/>
      <c r="G43" s="131"/>
    </row>
    <row r="44" spans="1:7" ht="15" x14ac:dyDescent="0.2">
      <c r="A44" s="130" t="s">
        <v>167</v>
      </c>
      <c r="B44" s="130">
        <f>B42+B43</f>
        <v>6662.5</v>
      </c>
      <c r="C44" s="130">
        <f>C42+C43</f>
        <v>4387.5</v>
      </c>
      <c r="D44" s="135">
        <f>SUM(B44:C44)</f>
        <v>11050</v>
      </c>
      <c r="E44" s="131"/>
      <c r="F44" s="131"/>
      <c r="G44" s="131"/>
    </row>
    <row r="45" spans="1:7" ht="15" x14ac:dyDescent="0.2">
      <c r="A45" s="131"/>
      <c r="B45" s="131"/>
      <c r="C45" s="131"/>
      <c r="D45" s="131"/>
      <c r="E45" s="131"/>
      <c r="F45" s="131"/>
      <c r="G45" s="131"/>
    </row>
    <row r="46" spans="1:7" ht="15" x14ac:dyDescent="0.2">
      <c r="A46" s="145"/>
      <c r="B46" s="145"/>
      <c r="C46" s="145"/>
      <c r="D46" s="145"/>
      <c r="E46" s="145"/>
      <c r="F46" s="145"/>
      <c r="G46" s="145"/>
    </row>
    <row r="47" spans="1:7" ht="32" x14ac:dyDescent="0.2">
      <c r="A47" s="138" t="s">
        <v>66</v>
      </c>
      <c r="B47" s="138" t="s">
        <v>159</v>
      </c>
      <c r="C47" s="138" t="s">
        <v>160</v>
      </c>
      <c r="D47" s="137" t="s">
        <v>4</v>
      </c>
      <c r="E47" s="145"/>
      <c r="F47" s="145"/>
      <c r="G47" s="145"/>
    </row>
    <row r="48" spans="1:7" ht="15" x14ac:dyDescent="0.2">
      <c r="A48" s="130" t="s">
        <v>165</v>
      </c>
      <c r="B48" s="146">
        <f>B42/D42</f>
        <v>0.42307692307692307</v>
      </c>
      <c r="C48" s="146">
        <f>C42/D42</f>
        <v>0.57692307692307687</v>
      </c>
      <c r="D48" s="146">
        <v>1</v>
      </c>
      <c r="E48" s="145"/>
      <c r="F48" s="145"/>
      <c r="G48" s="145"/>
    </row>
    <row r="49" spans="1:7" ht="15" x14ac:dyDescent="0.2">
      <c r="A49" s="130" t="s">
        <v>166</v>
      </c>
      <c r="B49" s="146">
        <f>B43/D43</f>
        <v>0.37454212454212454</v>
      </c>
      <c r="C49" s="146">
        <f>C43/D43</f>
        <v>0.62545787545787546</v>
      </c>
      <c r="D49" s="146">
        <v>1</v>
      </c>
      <c r="E49" s="145"/>
      <c r="F49" s="145"/>
      <c r="G49" s="145"/>
    </row>
    <row r="50" spans="1:7" ht="15" x14ac:dyDescent="0.2">
      <c r="A50" s="130" t="s">
        <v>167</v>
      </c>
      <c r="B50" s="146">
        <f>B44/D44</f>
        <v>0.6029411764705882</v>
      </c>
      <c r="C50" s="146">
        <f>C44/D44</f>
        <v>0.39705882352941174</v>
      </c>
      <c r="D50" s="146">
        <v>1</v>
      </c>
      <c r="E50" s="145"/>
      <c r="F50" s="145"/>
      <c r="G50" s="145"/>
    </row>
    <row r="51" spans="1:7" ht="15" x14ac:dyDescent="0.2">
      <c r="A51" s="145"/>
      <c r="B51" s="145"/>
      <c r="C51" s="145"/>
      <c r="D51" s="145"/>
      <c r="E51" s="145"/>
      <c r="F51" s="145"/>
      <c r="G51" s="145"/>
    </row>
    <row r="52" spans="1:7" ht="15" x14ac:dyDescent="0.2">
      <c r="A52" s="145"/>
      <c r="B52" s="145"/>
      <c r="C52" s="145"/>
      <c r="D52" s="145"/>
      <c r="E52" s="145"/>
      <c r="F52" s="145"/>
      <c r="G52" s="145"/>
    </row>
    <row r="53" spans="1:7" ht="15" x14ac:dyDescent="0.2">
      <c r="A53" s="145"/>
      <c r="B53" s="145"/>
      <c r="C53" s="145"/>
      <c r="D53" s="145"/>
      <c r="E53" s="145"/>
      <c r="F53" s="145"/>
      <c r="G53" s="145"/>
    </row>
    <row r="54" spans="1:7" ht="15" x14ac:dyDescent="0.2">
      <c r="A54" s="145"/>
      <c r="B54" s="145"/>
      <c r="C54" s="145"/>
      <c r="D54" s="145"/>
      <c r="E54" s="145"/>
      <c r="F54" s="145"/>
      <c r="G54" s="145"/>
    </row>
    <row r="55" spans="1:7" ht="15" x14ac:dyDescent="0.2">
      <c r="A55" s="145"/>
      <c r="B55" s="145"/>
      <c r="C55" s="145"/>
      <c r="D55" s="145"/>
      <c r="E55" s="145"/>
      <c r="F55" s="145"/>
      <c r="G55" s="145"/>
    </row>
    <row r="56" spans="1:7" ht="15" x14ac:dyDescent="0.2">
      <c r="A56" s="145"/>
      <c r="B56" s="145"/>
      <c r="C56" s="145"/>
      <c r="D56" s="145"/>
      <c r="E56" s="145"/>
      <c r="F56" s="145"/>
      <c r="G56" s="145"/>
    </row>
    <row r="57" spans="1:7" ht="15" x14ac:dyDescent="0.2">
      <c r="A57" s="145"/>
      <c r="B57" s="145"/>
      <c r="C57" s="145"/>
      <c r="D57" s="145"/>
      <c r="E57" s="145"/>
      <c r="F57" s="145"/>
      <c r="G57" s="145"/>
    </row>
    <row r="58" spans="1:7" ht="15" x14ac:dyDescent="0.2">
      <c r="A58" s="145"/>
      <c r="B58" s="145"/>
      <c r="C58" s="145"/>
      <c r="D58" s="145"/>
      <c r="E58" s="145"/>
      <c r="F58" s="145"/>
      <c r="G58" s="145"/>
    </row>
    <row r="59" spans="1:7" ht="15" x14ac:dyDescent="0.2">
      <c r="A59" s="145"/>
      <c r="B59" s="145"/>
      <c r="C59" s="145"/>
      <c r="D59" s="145"/>
      <c r="E59" s="145"/>
      <c r="F59" s="145"/>
      <c r="G59" s="145"/>
    </row>
    <row r="60" spans="1:7" ht="15" x14ac:dyDescent="0.2">
      <c r="A60" s="145"/>
      <c r="B60" s="145"/>
      <c r="C60" s="145"/>
      <c r="D60" s="145"/>
      <c r="E60" s="145"/>
      <c r="F60" s="145"/>
      <c r="G60" s="145"/>
    </row>
    <row r="61" spans="1:7" ht="15" x14ac:dyDescent="0.2">
      <c r="A61" s="145"/>
      <c r="B61" s="145"/>
      <c r="C61" s="145"/>
      <c r="D61" s="145"/>
      <c r="E61" s="145"/>
      <c r="F61" s="145"/>
      <c r="G61" s="145"/>
    </row>
    <row r="62" spans="1:7" ht="15" x14ac:dyDescent="0.2">
      <c r="A62" s="145"/>
      <c r="B62" s="145"/>
      <c r="C62" s="145"/>
      <c r="D62" s="145"/>
      <c r="E62" s="145"/>
      <c r="F62" s="145"/>
      <c r="G62" s="145"/>
    </row>
    <row r="63" spans="1:7" ht="15" x14ac:dyDescent="0.2">
      <c r="A63" s="145"/>
      <c r="B63" s="145"/>
      <c r="C63" s="145"/>
      <c r="D63" s="145"/>
      <c r="E63" s="145"/>
      <c r="F63" s="145"/>
      <c r="G63" s="145"/>
    </row>
    <row r="64" spans="1:7" ht="15" x14ac:dyDescent="0.2">
      <c r="A64" s="145"/>
      <c r="B64" s="145"/>
      <c r="C64" s="145"/>
      <c r="D64" s="145"/>
      <c r="E64" s="145"/>
      <c r="F64" s="145"/>
      <c r="G64" s="145"/>
    </row>
    <row r="65" spans="1:7" ht="15" x14ac:dyDescent="0.2">
      <c r="A65" s="145"/>
      <c r="B65" s="145"/>
      <c r="C65" s="145"/>
      <c r="D65" s="145"/>
      <c r="E65" s="145"/>
      <c r="F65" s="145"/>
      <c r="G65" s="145"/>
    </row>
    <row r="66" spans="1:7" ht="15" x14ac:dyDescent="0.2">
      <c r="A66" s="145"/>
      <c r="B66" s="145"/>
      <c r="C66" s="145"/>
      <c r="D66" s="145"/>
      <c r="E66" s="145"/>
      <c r="F66" s="145"/>
      <c r="G66" s="145"/>
    </row>
    <row r="67" spans="1:7" ht="15" x14ac:dyDescent="0.2">
      <c r="A67" s="145"/>
      <c r="B67" s="145"/>
      <c r="C67" s="145"/>
      <c r="D67" s="145"/>
      <c r="E67" s="145"/>
      <c r="F67" s="145"/>
      <c r="G67" s="145"/>
    </row>
    <row r="68" spans="1:7" ht="15" x14ac:dyDescent="0.2">
      <c r="A68" s="145"/>
      <c r="B68" s="145"/>
      <c r="C68" s="145"/>
      <c r="D68" s="145"/>
      <c r="E68" s="145"/>
      <c r="F68" s="145"/>
      <c r="G68" s="145"/>
    </row>
    <row r="69" spans="1:7" ht="15" x14ac:dyDescent="0.2">
      <c r="A69" s="145"/>
      <c r="B69" s="145"/>
      <c r="C69" s="145"/>
      <c r="D69" s="145"/>
      <c r="E69" s="145"/>
      <c r="F69" s="145"/>
      <c r="G69" s="145"/>
    </row>
    <row r="70" spans="1:7" ht="15" x14ac:dyDescent="0.2">
      <c r="A70" s="145"/>
      <c r="B70" s="145"/>
      <c r="C70" s="145"/>
      <c r="D70" s="145"/>
      <c r="E70" s="145"/>
      <c r="F70" s="145"/>
      <c r="G70" s="145"/>
    </row>
    <row r="71" spans="1:7" ht="15" x14ac:dyDescent="0.2">
      <c r="A71" s="145"/>
      <c r="B71" s="145"/>
      <c r="C71" s="145"/>
      <c r="D71" s="145"/>
      <c r="E71" s="145"/>
      <c r="F71" s="145"/>
      <c r="G71" s="145"/>
    </row>
    <row r="72" spans="1:7" ht="15" x14ac:dyDescent="0.2">
      <c r="A72" s="145"/>
      <c r="B72" s="145"/>
      <c r="C72" s="145"/>
      <c r="D72" s="145"/>
      <c r="E72" s="145"/>
      <c r="F72" s="145"/>
      <c r="G72" s="145"/>
    </row>
    <row r="73" spans="1:7" ht="15" x14ac:dyDescent="0.2">
      <c r="A73" s="145"/>
      <c r="B73" s="145"/>
      <c r="C73" s="145"/>
      <c r="D73" s="145"/>
      <c r="E73" s="145"/>
      <c r="F73" s="145"/>
      <c r="G73" s="145"/>
    </row>
    <row r="74" spans="1:7" ht="15" x14ac:dyDescent="0.2">
      <c r="A74" s="145"/>
      <c r="B74" s="145"/>
      <c r="C74" s="145"/>
      <c r="D74" s="145"/>
      <c r="E74" s="145"/>
      <c r="F74" s="145"/>
      <c r="G74" s="145"/>
    </row>
    <row r="75" spans="1:7" ht="15" x14ac:dyDescent="0.2">
      <c r="A75" s="145"/>
      <c r="B75" s="145"/>
      <c r="C75" s="145"/>
      <c r="D75" s="145"/>
      <c r="E75" s="145"/>
      <c r="F75" s="145"/>
      <c r="G75" s="145"/>
    </row>
    <row r="76" spans="1:7" ht="15" x14ac:dyDescent="0.2">
      <c r="A76" s="145"/>
      <c r="B76" s="145"/>
      <c r="C76" s="145"/>
      <c r="D76" s="145"/>
      <c r="E76" s="145"/>
      <c r="F76" s="145"/>
      <c r="G76" s="145"/>
    </row>
    <row r="77" spans="1:7" ht="15" x14ac:dyDescent="0.2">
      <c r="A77" s="145"/>
      <c r="B77" s="145"/>
      <c r="C77" s="145"/>
      <c r="D77" s="145"/>
      <c r="E77" s="145"/>
      <c r="F77" s="145"/>
      <c r="G77" s="145"/>
    </row>
    <row r="78" spans="1:7" ht="15" x14ac:dyDescent="0.2">
      <c r="A78" s="145"/>
      <c r="B78" s="145"/>
      <c r="C78" s="145"/>
      <c r="D78" s="145"/>
      <c r="E78" s="145"/>
      <c r="F78" s="145"/>
      <c r="G78" s="145"/>
    </row>
    <row r="79" spans="1:7" ht="15" x14ac:dyDescent="0.2">
      <c r="A79" s="145"/>
      <c r="B79" s="145"/>
      <c r="C79" s="145"/>
      <c r="D79" s="145"/>
      <c r="E79" s="145"/>
      <c r="F79" s="145"/>
      <c r="G79" s="145"/>
    </row>
  </sheetData>
  <mergeCells count="2">
    <mergeCell ref="B11:D11"/>
    <mergeCell ref="B13:D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J55"/>
  <sheetViews>
    <sheetView topLeftCell="A33" workbookViewId="0">
      <selection activeCell="D18" sqref="D18"/>
    </sheetView>
  </sheetViews>
  <sheetFormatPr baseColWidth="10" defaultColWidth="44.5" defaultRowHeight="15" x14ac:dyDescent="0.2"/>
  <cols>
    <col min="1" max="1" width="30.5" style="147" bestFit="1" customWidth="1"/>
    <col min="2" max="2" width="12.6640625" style="147" bestFit="1" customWidth="1"/>
    <col min="3" max="3" width="9.33203125" style="147" bestFit="1" customWidth="1"/>
    <col min="4" max="4" width="8.33203125" style="147" bestFit="1" customWidth="1"/>
    <col min="5" max="5" width="28.5" style="147" customWidth="1"/>
    <col min="6" max="6" width="30.5" style="147" bestFit="1" customWidth="1"/>
    <col min="7" max="7" width="13.6640625" style="131" bestFit="1" customWidth="1"/>
    <col min="8" max="8" width="9.33203125" style="147" bestFit="1" customWidth="1"/>
    <col min="9" max="9" width="7.83203125" style="147" bestFit="1" customWidth="1"/>
    <col min="10" max="16384" width="44.5" style="147"/>
  </cols>
  <sheetData>
    <row r="2" spans="1:5" ht="16" x14ac:dyDescent="0.2">
      <c r="A2" s="148" t="s">
        <v>168</v>
      </c>
      <c r="B2" s="148" t="s">
        <v>123</v>
      </c>
      <c r="C2" s="148" t="s">
        <v>124</v>
      </c>
      <c r="D2" s="148" t="s">
        <v>169</v>
      </c>
    </row>
    <row r="3" spans="1:5" ht="16" x14ac:dyDescent="0.2">
      <c r="A3" s="149" t="s">
        <v>170</v>
      </c>
      <c r="B3" s="149" t="s">
        <v>171</v>
      </c>
      <c r="C3" s="149" t="s">
        <v>172</v>
      </c>
      <c r="D3" s="150">
        <v>9000</v>
      </c>
      <c r="E3" s="151"/>
    </row>
    <row r="4" spans="1:5" ht="16" x14ac:dyDescent="0.2">
      <c r="A4" s="149" t="s">
        <v>173</v>
      </c>
      <c r="B4" s="149" t="s">
        <v>130</v>
      </c>
      <c r="C4" s="149" t="s">
        <v>174</v>
      </c>
      <c r="D4" s="150">
        <v>10000</v>
      </c>
      <c r="E4" s="151"/>
    </row>
    <row r="5" spans="1:5" ht="16" x14ac:dyDescent="0.2">
      <c r="A5" s="149" t="s">
        <v>175</v>
      </c>
      <c r="B5" s="149" t="s">
        <v>176</v>
      </c>
      <c r="C5" s="149" t="s">
        <v>134</v>
      </c>
      <c r="D5" s="150">
        <v>2400</v>
      </c>
      <c r="E5" s="151"/>
    </row>
    <row r="6" spans="1:5" x14ac:dyDescent="0.2">
      <c r="A6" s="451" t="s">
        <v>177</v>
      </c>
      <c r="B6" s="451"/>
      <c r="C6" s="452">
        <v>1200</v>
      </c>
      <c r="D6" s="452"/>
      <c r="E6" s="151"/>
    </row>
    <row r="7" spans="1:5" x14ac:dyDescent="0.2">
      <c r="A7" s="451" t="s">
        <v>178</v>
      </c>
      <c r="B7" s="451"/>
      <c r="C7" s="452">
        <v>22600</v>
      </c>
      <c r="D7" s="452"/>
      <c r="E7" s="151"/>
    </row>
    <row r="9" spans="1:5" x14ac:dyDescent="0.2">
      <c r="A9" s="453" t="s">
        <v>179</v>
      </c>
      <c r="B9" s="453"/>
      <c r="C9" s="453"/>
      <c r="D9" s="453"/>
      <c r="E9" s="453"/>
    </row>
    <row r="10" spans="1:5" ht="16" x14ac:dyDescent="0.2">
      <c r="A10" s="148" t="s">
        <v>180</v>
      </c>
      <c r="B10" s="148" t="s">
        <v>123</v>
      </c>
      <c r="C10" s="148" t="s">
        <v>124</v>
      </c>
      <c r="D10" s="148" t="s">
        <v>181</v>
      </c>
    </row>
    <row r="11" spans="1:5" ht="16" x14ac:dyDescent="0.2">
      <c r="A11" s="149" t="s">
        <v>170</v>
      </c>
      <c r="B11" s="149" t="s">
        <v>182</v>
      </c>
      <c r="C11" s="149" t="s">
        <v>172</v>
      </c>
      <c r="D11" s="150">
        <v>6000</v>
      </c>
      <c r="E11" s="151"/>
    </row>
    <row r="12" spans="1:5" ht="16" x14ac:dyDescent="0.2">
      <c r="A12" s="149" t="s">
        <v>173</v>
      </c>
      <c r="B12" s="149" t="s">
        <v>183</v>
      </c>
      <c r="C12" s="149" t="s">
        <v>174</v>
      </c>
      <c r="D12" s="150">
        <v>2000</v>
      </c>
    </row>
    <row r="13" spans="1:5" ht="16" x14ac:dyDescent="0.2">
      <c r="A13" s="149" t="s">
        <v>175</v>
      </c>
      <c r="B13" s="149" t="s">
        <v>184</v>
      </c>
      <c r="C13" s="149" t="s">
        <v>134</v>
      </c>
      <c r="D13" s="150">
        <v>1200</v>
      </c>
    </row>
    <row r="14" spans="1:5" x14ac:dyDescent="0.2">
      <c r="A14" s="451" t="s">
        <v>177</v>
      </c>
      <c r="B14" s="451"/>
      <c r="C14" s="454">
        <v>600</v>
      </c>
      <c r="D14" s="454"/>
    </row>
    <row r="16" spans="1:5" x14ac:dyDescent="0.2">
      <c r="A16" s="455" t="s">
        <v>185</v>
      </c>
      <c r="B16" s="455"/>
      <c r="C16" s="455"/>
      <c r="D16" s="152" t="s">
        <v>186</v>
      </c>
    </row>
    <row r="18" spans="1:10" x14ac:dyDescent="0.2">
      <c r="A18" s="147" t="s">
        <v>187</v>
      </c>
      <c r="D18" s="151">
        <f>D25</f>
        <v>9800</v>
      </c>
    </row>
    <row r="20" spans="1:10" ht="16" x14ac:dyDescent="0.2">
      <c r="A20" s="148" t="s">
        <v>180</v>
      </c>
      <c r="B20" s="148" t="s">
        <v>123</v>
      </c>
      <c r="C20" s="148" t="s">
        <v>124</v>
      </c>
      <c r="D20" s="148" t="s">
        <v>181</v>
      </c>
      <c r="H20" s="147" t="s">
        <v>89</v>
      </c>
      <c r="J20" s="147" t="s">
        <v>188</v>
      </c>
    </row>
    <row r="21" spans="1:10" ht="16" x14ac:dyDescent="0.2">
      <c r="A21" s="149" t="s">
        <v>170</v>
      </c>
      <c r="B21" s="149" t="s">
        <v>182</v>
      </c>
      <c r="C21" s="149" t="s">
        <v>172</v>
      </c>
      <c r="D21" s="150">
        <v>6000</v>
      </c>
      <c r="J21" s="147" t="s">
        <v>189</v>
      </c>
    </row>
    <row r="22" spans="1:10" ht="16" x14ac:dyDescent="0.2">
      <c r="A22" s="149" t="s">
        <v>173</v>
      </c>
      <c r="B22" s="149" t="s">
        <v>183</v>
      </c>
      <c r="C22" s="149" t="s">
        <v>174</v>
      </c>
      <c r="D22" s="150">
        <v>2000</v>
      </c>
      <c r="J22" s="147" t="s">
        <v>190</v>
      </c>
    </row>
    <row r="23" spans="1:10" ht="16" x14ac:dyDescent="0.2">
      <c r="A23" s="149" t="s">
        <v>175</v>
      </c>
      <c r="B23" s="149" t="s">
        <v>184</v>
      </c>
      <c r="C23" s="149" t="s">
        <v>134</v>
      </c>
      <c r="D23" s="150">
        <v>1200</v>
      </c>
      <c r="J23" s="147" t="s">
        <v>191</v>
      </c>
    </row>
    <row r="24" spans="1:10" x14ac:dyDescent="0.2">
      <c r="A24" s="451" t="s">
        <v>177</v>
      </c>
      <c r="B24" s="451"/>
      <c r="C24" s="454">
        <v>600</v>
      </c>
      <c r="D24" s="454"/>
    </row>
    <row r="25" spans="1:10" ht="16" x14ac:dyDescent="0.2">
      <c r="A25" s="153" t="s">
        <v>192</v>
      </c>
      <c r="D25" s="151">
        <f>D21+D22+D23+C24</f>
        <v>9800</v>
      </c>
    </row>
    <row r="26" spans="1:10" x14ac:dyDescent="0.2">
      <c r="A26" s="153"/>
      <c r="D26" s="151"/>
    </row>
    <row r="27" spans="1:10" x14ac:dyDescent="0.2">
      <c r="A27" s="153"/>
      <c r="D27" s="151"/>
    </row>
    <row r="28" spans="1:10" x14ac:dyDescent="0.2">
      <c r="A28" s="456" t="s">
        <v>193</v>
      </c>
      <c r="B28" s="456"/>
      <c r="C28" s="456"/>
      <c r="D28" s="456"/>
      <c r="E28" s="456"/>
    </row>
    <row r="30" spans="1:10" ht="16" x14ac:dyDescent="0.2">
      <c r="A30" s="148" t="s">
        <v>194</v>
      </c>
    </row>
    <row r="31" spans="1:10" x14ac:dyDescent="0.2">
      <c r="A31" s="154" t="s">
        <v>195</v>
      </c>
    </row>
    <row r="32" spans="1:10" x14ac:dyDescent="0.2">
      <c r="A32" s="154" t="s">
        <v>165</v>
      </c>
      <c r="B32" s="154">
        <v>0</v>
      </c>
    </row>
    <row r="33" spans="1:10" x14ac:dyDescent="0.2">
      <c r="A33" s="154" t="s">
        <v>196</v>
      </c>
      <c r="B33" s="154">
        <v>0</v>
      </c>
      <c r="G33" s="131" t="s">
        <v>197</v>
      </c>
      <c r="H33" s="147" t="s">
        <v>198</v>
      </c>
    </row>
    <row r="34" spans="1:10" x14ac:dyDescent="0.2">
      <c r="A34" s="154" t="s">
        <v>167</v>
      </c>
      <c r="B34" s="154">
        <v>0</v>
      </c>
      <c r="F34" s="147" t="s">
        <v>199</v>
      </c>
      <c r="G34" s="131">
        <v>0</v>
      </c>
    </row>
    <row r="35" spans="1:10" x14ac:dyDescent="0.2">
      <c r="F35" s="147" t="s">
        <v>200</v>
      </c>
      <c r="H35" s="147">
        <v>0</v>
      </c>
    </row>
    <row r="36" spans="1:10" ht="16" x14ac:dyDescent="0.2">
      <c r="A36" s="148" t="s">
        <v>201</v>
      </c>
    </row>
    <row r="37" spans="1:10" ht="16" x14ac:dyDescent="0.2">
      <c r="A37" s="149" t="s">
        <v>165</v>
      </c>
      <c r="B37" s="154">
        <v>0</v>
      </c>
      <c r="F37" s="147" t="s">
        <v>202</v>
      </c>
      <c r="G37" s="131">
        <v>9800</v>
      </c>
    </row>
    <row r="38" spans="1:10" ht="32" x14ac:dyDescent="0.2">
      <c r="A38" s="149" t="s">
        <v>203</v>
      </c>
      <c r="B38" s="155">
        <f>D25</f>
        <v>9800</v>
      </c>
      <c r="F38" s="149" t="s">
        <v>203</v>
      </c>
      <c r="H38" s="147">
        <v>9800</v>
      </c>
    </row>
    <row r="39" spans="1:10" x14ac:dyDescent="0.2">
      <c r="A39" s="154" t="s">
        <v>204</v>
      </c>
      <c r="B39" s="154"/>
      <c r="H39" s="147" t="s">
        <v>205</v>
      </c>
    </row>
    <row r="40" spans="1:10" x14ac:dyDescent="0.2">
      <c r="A40" s="154" t="s">
        <v>206</v>
      </c>
      <c r="B40" s="155">
        <f>-D11-D12</f>
        <v>-8000</v>
      </c>
    </row>
    <row r="41" spans="1:10" x14ac:dyDescent="0.2">
      <c r="A41" s="154" t="s">
        <v>161</v>
      </c>
      <c r="B41" s="155">
        <f>-D13</f>
        <v>-1200</v>
      </c>
    </row>
    <row r="42" spans="1:10" x14ac:dyDescent="0.2">
      <c r="A42" s="154" t="s">
        <v>207</v>
      </c>
      <c r="B42" s="154">
        <f>-C14</f>
        <v>-600</v>
      </c>
    </row>
    <row r="43" spans="1:10" x14ac:dyDescent="0.2">
      <c r="A43" s="154" t="s">
        <v>208</v>
      </c>
      <c r="B43" s="154">
        <f>SUM(B37:B42)</f>
        <v>0</v>
      </c>
    </row>
    <row r="45" spans="1:10" ht="16" x14ac:dyDescent="0.2">
      <c r="A45" s="149" t="s">
        <v>165</v>
      </c>
      <c r="B45" s="130">
        <v>50000</v>
      </c>
    </row>
    <row r="46" spans="1:10" ht="32" x14ac:dyDescent="0.2">
      <c r="A46" s="149" t="s">
        <v>203</v>
      </c>
      <c r="B46" s="130">
        <v>-9800</v>
      </c>
      <c r="F46" s="148" t="s">
        <v>168</v>
      </c>
      <c r="G46" s="148" t="s">
        <v>123</v>
      </c>
      <c r="H46" s="148" t="s">
        <v>124</v>
      </c>
      <c r="I46" s="148" t="s">
        <v>169</v>
      </c>
      <c r="J46" s="147" t="s">
        <v>209</v>
      </c>
    </row>
    <row r="47" spans="1:10" ht="16" x14ac:dyDescent="0.2">
      <c r="A47" s="154" t="s">
        <v>204</v>
      </c>
      <c r="B47" s="130"/>
      <c r="F47" s="149" t="s">
        <v>170</v>
      </c>
      <c r="G47" s="149" t="s">
        <v>171</v>
      </c>
      <c r="H47" s="149" t="s">
        <v>172</v>
      </c>
      <c r="I47" s="150">
        <v>9000</v>
      </c>
      <c r="J47" s="151">
        <f>I47-D21</f>
        <v>3000</v>
      </c>
    </row>
    <row r="48" spans="1:10" ht="16" x14ac:dyDescent="0.2">
      <c r="A48" s="154" t="s">
        <v>206</v>
      </c>
      <c r="B48" s="130">
        <f>-(J47+J48)</f>
        <v>-11000</v>
      </c>
      <c r="F48" s="149" t="s">
        <v>173</v>
      </c>
      <c r="G48" s="149" t="s">
        <v>130</v>
      </c>
      <c r="H48" s="149" t="s">
        <v>174</v>
      </c>
      <c r="I48" s="150">
        <v>10000</v>
      </c>
      <c r="J48" s="151">
        <f>I48-D12</f>
        <v>8000</v>
      </c>
    </row>
    <row r="49" spans="1:10" ht="16" x14ac:dyDescent="0.2">
      <c r="A49" s="154" t="s">
        <v>161</v>
      </c>
      <c r="B49" s="130">
        <f>-J49</f>
        <v>-1200</v>
      </c>
      <c r="F49" s="149" t="s">
        <v>175</v>
      </c>
      <c r="G49" s="149" t="s">
        <v>176</v>
      </c>
      <c r="H49" s="149" t="s">
        <v>134</v>
      </c>
      <c r="I49" s="150">
        <v>2400</v>
      </c>
      <c r="J49" s="151">
        <f>I49-D23</f>
        <v>1200</v>
      </c>
    </row>
    <row r="50" spans="1:10" x14ac:dyDescent="0.2">
      <c r="A50" s="154" t="s">
        <v>207</v>
      </c>
      <c r="B50" s="130">
        <f>-J50</f>
        <v>-600</v>
      </c>
      <c r="F50" s="451" t="s">
        <v>177</v>
      </c>
      <c r="G50" s="451"/>
      <c r="H50" s="452">
        <v>1200</v>
      </c>
      <c r="I50" s="452"/>
      <c r="J50" s="151">
        <f>C24</f>
        <v>600</v>
      </c>
    </row>
    <row r="51" spans="1:10" x14ac:dyDescent="0.2">
      <c r="A51" s="154" t="s">
        <v>208</v>
      </c>
      <c r="B51" s="130">
        <f>SUM(B45:B50)</f>
        <v>27400</v>
      </c>
      <c r="F51" s="451" t="s">
        <v>178</v>
      </c>
      <c r="G51" s="451"/>
      <c r="H51" s="452">
        <v>22600</v>
      </c>
      <c r="I51" s="452"/>
      <c r="J51" s="151">
        <f>SUM(J47:J50)</f>
        <v>12800</v>
      </c>
    </row>
    <row r="53" spans="1:10" x14ac:dyDescent="0.2">
      <c r="E53" s="131"/>
    </row>
    <row r="54" spans="1:10" x14ac:dyDescent="0.2">
      <c r="E54" s="151"/>
    </row>
    <row r="55" spans="1:10" x14ac:dyDescent="0.2">
      <c r="E55" s="156"/>
    </row>
  </sheetData>
  <mergeCells count="15">
    <mergeCell ref="A14:B14"/>
    <mergeCell ref="C14:D14"/>
    <mergeCell ref="F51:G51"/>
    <mergeCell ref="H51:I51"/>
    <mergeCell ref="A16:C16"/>
    <mergeCell ref="A24:B24"/>
    <mergeCell ref="C24:D24"/>
    <mergeCell ref="A28:E28"/>
    <mergeCell ref="F50:G50"/>
    <mergeCell ref="H50:I50"/>
    <mergeCell ref="A6:B6"/>
    <mergeCell ref="C6:D6"/>
    <mergeCell ref="A7:B7"/>
    <mergeCell ref="C7:D7"/>
    <mergeCell ref="A9:E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0"/>
  <sheetViews>
    <sheetView workbookViewId="0">
      <selection activeCell="H17" sqref="H17"/>
    </sheetView>
  </sheetViews>
  <sheetFormatPr baseColWidth="10" defaultColWidth="11.5" defaultRowHeight="15" x14ac:dyDescent="0.2"/>
  <cols>
    <col min="1" max="1" width="20.6640625" style="145" customWidth="1"/>
    <col min="2" max="3" width="11.5" style="145" bestFit="1" customWidth="1"/>
    <col min="4" max="4" width="14.5" style="145" bestFit="1" customWidth="1"/>
    <col min="5" max="5" width="11.33203125" style="145" bestFit="1" customWidth="1"/>
    <col min="6" max="7" width="19.1640625" style="145" bestFit="1" customWidth="1"/>
    <col min="8" max="16384" width="11.5" style="145"/>
  </cols>
  <sheetData>
    <row r="1" spans="1:6" s="131" customFormat="1" x14ac:dyDescent="0.2">
      <c r="A1" s="459" t="s">
        <v>210</v>
      </c>
      <c r="B1" s="459"/>
      <c r="C1" s="459"/>
      <c r="D1" s="459"/>
    </row>
    <row r="2" spans="1:6" s="131" customFormat="1" x14ac:dyDescent="0.2">
      <c r="A2" s="455" t="s">
        <v>211</v>
      </c>
      <c r="B2" s="455"/>
      <c r="C2" s="455"/>
      <c r="D2" s="455"/>
    </row>
    <row r="3" spans="1:6" s="131" customFormat="1" x14ac:dyDescent="0.2">
      <c r="A3" s="455" t="s">
        <v>212</v>
      </c>
      <c r="B3" s="455"/>
      <c r="C3" s="455"/>
      <c r="D3" s="455"/>
    </row>
    <row r="4" spans="1:6" s="131" customFormat="1" x14ac:dyDescent="0.2">
      <c r="A4" s="455" t="s">
        <v>213</v>
      </c>
      <c r="B4" s="455"/>
      <c r="C4" s="455"/>
      <c r="D4" s="455"/>
      <c r="E4" s="455"/>
    </row>
    <row r="5" spans="1:6" s="131" customFormat="1" x14ac:dyDescent="0.2">
      <c r="A5" s="455" t="s">
        <v>214</v>
      </c>
      <c r="B5" s="455"/>
    </row>
    <row r="6" spans="1:6" s="131" customFormat="1" x14ac:dyDescent="0.2">
      <c r="A6" s="157"/>
      <c r="B6" s="157"/>
    </row>
    <row r="7" spans="1:6" s="131" customFormat="1" x14ac:dyDescent="0.2">
      <c r="A7" s="455" t="s">
        <v>215</v>
      </c>
      <c r="B7" s="455"/>
      <c r="C7" s="455"/>
      <c r="D7" s="455"/>
    </row>
    <row r="8" spans="1:6" s="131" customFormat="1" x14ac:dyDescent="0.2"/>
    <row r="9" spans="1:6" s="131" customFormat="1" x14ac:dyDescent="0.2">
      <c r="A9" s="457" t="s">
        <v>216</v>
      </c>
      <c r="B9" s="457"/>
      <c r="C9" s="457"/>
    </row>
    <row r="10" spans="1:6" s="131" customFormat="1" x14ac:dyDescent="0.2"/>
    <row r="11" spans="1:6" s="136" customFormat="1" x14ac:dyDescent="0.2">
      <c r="A11" s="158" t="s">
        <v>217</v>
      </c>
      <c r="B11" s="158" t="s">
        <v>218</v>
      </c>
      <c r="C11" s="158" t="s">
        <v>219</v>
      </c>
      <c r="D11" s="158" t="s">
        <v>220</v>
      </c>
    </row>
    <row r="12" spans="1:6" s="131" customFormat="1" x14ac:dyDescent="0.2">
      <c r="A12" s="130" t="s">
        <v>6</v>
      </c>
      <c r="B12" s="130">
        <v>100</v>
      </c>
      <c r="C12" s="130">
        <v>3</v>
      </c>
      <c r="D12" s="130">
        <f>B12*C12</f>
        <v>300</v>
      </c>
      <c r="E12" s="131">
        <v>200</v>
      </c>
      <c r="F12" s="131" t="s">
        <v>221</v>
      </c>
    </row>
    <row r="13" spans="1:6" s="131" customFormat="1" x14ac:dyDescent="0.2">
      <c r="E13" s="131">
        <v>100</v>
      </c>
      <c r="F13" s="131" t="s">
        <v>222</v>
      </c>
    </row>
    <row r="14" spans="1:6" s="131" customFormat="1" x14ac:dyDescent="0.2"/>
    <row r="15" spans="1:6" s="131" customFormat="1" x14ac:dyDescent="0.2">
      <c r="A15" s="455" t="s">
        <v>223</v>
      </c>
      <c r="B15" s="455"/>
      <c r="C15" s="455"/>
      <c r="D15" s="455"/>
    </row>
    <row r="16" spans="1:6" s="131" customFormat="1" x14ac:dyDescent="0.2"/>
    <row r="17" spans="1:6" s="131" customFormat="1" x14ac:dyDescent="0.2">
      <c r="A17" s="457" t="s">
        <v>224</v>
      </c>
      <c r="B17" s="457"/>
      <c r="C17" s="457"/>
    </row>
    <row r="18" spans="1:6" s="131" customFormat="1" x14ac:dyDescent="0.2"/>
    <row r="19" spans="1:6" s="131" customFormat="1" x14ac:dyDescent="0.2">
      <c r="A19" s="158" t="s">
        <v>217</v>
      </c>
      <c r="B19" s="158" t="s">
        <v>218</v>
      </c>
      <c r="C19" s="158" t="s">
        <v>219</v>
      </c>
      <c r="D19" s="158" t="s">
        <v>220</v>
      </c>
    </row>
    <row r="20" spans="1:6" s="131" customFormat="1" x14ac:dyDescent="0.2">
      <c r="A20" s="130" t="s">
        <v>225</v>
      </c>
      <c r="B20" s="130">
        <v>80</v>
      </c>
      <c r="C20" s="130">
        <v>3</v>
      </c>
      <c r="D20" s="130">
        <f>B20*C20</f>
        <v>240</v>
      </c>
    </row>
    <row r="21" spans="1:6" s="131" customFormat="1" x14ac:dyDescent="0.2">
      <c r="A21" s="139"/>
      <c r="B21" s="139"/>
      <c r="C21" s="139"/>
      <c r="D21" s="139"/>
    </row>
    <row r="22" spans="1:6" s="131" customFormat="1" x14ac:dyDescent="0.2">
      <c r="A22" s="159" t="s">
        <v>62</v>
      </c>
      <c r="B22" s="158" t="s">
        <v>218</v>
      </c>
      <c r="C22" s="158" t="s">
        <v>219</v>
      </c>
      <c r="D22" s="158" t="s">
        <v>220</v>
      </c>
    </row>
    <row r="23" spans="1:6" s="131" customFormat="1" x14ac:dyDescent="0.2">
      <c r="A23" s="130" t="s">
        <v>226</v>
      </c>
      <c r="B23" s="130">
        <f>B12-B20</f>
        <v>20</v>
      </c>
      <c r="C23" s="130">
        <v>3</v>
      </c>
      <c r="D23" s="130">
        <f>B23*C23</f>
        <v>60</v>
      </c>
    </row>
    <row r="24" spans="1:6" s="131" customFormat="1" x14ac:dyDescent="0.2">
      <c r="A24" s="139"/>
      <c r="B24" s="139"/>
      <c r="C24" s="139"/>
      <c r="D24" s="139"/>
    </row>
    <row r="25" spans="1:6" s="131" customFormat="1" x14ac:dyDescent="0.2"/>
    <row r="26" spans="1:6" s="131" customFormat="1" x14ac:dyDescent="0.2">
      <c r="A26" s="458" t="s">
        <v>227</v>
      </c>
      <c r="B26" s="458"/>
      <c r="C26" s="458"/>
      <c r="D26" s="458"/>
      <c r="E26" s="458"/>
      <c r="F26" s="458"/>
    </row>
    <row r="27" spans="1:6" s="131" customFormat="1" x14ac:dyDescent="0.2"/>
    <row r="28" spans="1:6" s="131" customFormat="1" x14ac:dyDescent="0.2">
      <c r="A28" s="131" t="s">
        <v>194</v>
      </c>
    </row>
    <row r="29" spans="1:6" s="131" customFormat="1" x14ac:dyDescent="0.2">
      <c r="A29" s="131" t="s">
        <v>66</v>
      </c>
    </row>
    <row r="30" spans="1:6" x14ac:dyDescent="0.2">
      <c r="A30" s="131" t="s">
        <v>165</v>
      </c>
      <c r="B30" s="160">
        <f>B20*5</f>
        <v>400</v>
      </c>
    </row>
    <row r="31" spans="1:6" x14ac:dyDescent="0.2">
      <c r="A31" s="131" t="s">
        <v>228</v>
      </c>
      <c r="B31" s="161">
        <f>B20*C20</f>
        <v>240</v>
      </c>
    </row>
    <row r="32" spans="1:6" x14ac:dyDescent="0.2">
      <c r="A32" s="131" t="s">
        <v>167</v>
      </c>
      <c r="B32" s="160">
        <f>B30-B31</f>
        <v>160</v>
      </c>
    </row>
    <row r="33" spans="1:3" s="131" customFormat="1" x14ac:dyDescent="0.2"/>
    <row r="34" spans="1:3" s="131" customFormat="1" x14ac:dyDescent="0.2">
      <c r="A34" s="131" t="s">
        <v>229</v>
      </c>
    </row>
    <row r="35" spans="1:3" s="131" customFormat="1" x14ac:dyDescent="0.2">
      <c r="A35" s="131" t="s">
        <v>165</v>
      </c>
      <c r="C35" s="162">
        <f>B20*5</f>
        <v>400</v>
      </c>
    </row>
    <row r="36" spans="1:3" s="131" customFormat="1" x14ac:dyDescent="0.2">
      <c r="A36" s="131" t="s">
        <v>230</v>
      </c>
      <c r="C36" s="161">
        <f>-D12</f>
        <v>-300</v>
      </c>
    </row>
    <row r="37" spans="1:3" s="131" customFormat="1" x14ac:dyDescent="0.2">
      <c r="A37" s="131" t="s">
        <v>231</v>
      </c>
      <c r="C37" s="161">
        <f>D23</f>
        <v>60</v>
      </c>
    </row>
    <row r="38" spans="1:3" s="131" customFormat="1" x14ac:dyDescent="0.2">
      <c r="A38" s="131" t="s">
        <v>232</v>
      </c>
      <c r="C38" s="161">
        <f>C36+C37</f>
        <v>-240</v>
      </c>
    </row>
    <row r="39" spans="1:3" s="131" customFormat="1" x14ac:dyDescent="0.2">
      <c r="A39" s="131" t="s">
        <v>208</v>
      </c>
      <c r="C39" s="160">
        <f>C35+C38</f>
        <v>160</v>
      </c>
    </row>
    <row r="40" spans="1:3" s="131" customFormat="1" x14ac:dyDescent="0.2"/>
  </sheetData>
  <mergeCells count="10">
    <mergeCell ref="A9:C9"/>
    <mergeCell ref="A15:D15"/>
    <mergeCell ref="A17:C17"/>
    <mergeCell ref="A26:F26"/>
    <mergeCell ref="A1:D1"/>
    <mergeCell ref="A2:D2"/>
    <mergeCell ref="A3:D3"/>
    <mergeCell ref="A4:E4"/>
    <mergeCell ref="A5:B5"/>
    <mergeCell ref="A7:D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H45"/>
  <sheetViews>
    <sheetView workbookViewId="0">
      <selection activeCell="K7" sqref="K7"/>
    </sheetView>
  </sheetViews>
  <sheetFormatPr baseColWidth="10" defaultColWidth="11.5" defaultRowHeight="16" x14ac:dyDescent="0.2"/>
  <cols>
    <col min="1" max="1" width="30.5" style="163" customWidth="1"/>
    <col min="2" max="2" width="14.1640625" style="163" customWidth="1"/>
    <col min="3" max="3" width="18.5" style="163" customWidth="1"/>
    <col min="4" max="4" width="13.6640625" style="163" bestFit="1" customWidth="1"/>
    <col min="5" max="5" width="22.83203125" style="163" bestFit="1" customWidth="1"/>
    <col min="6" max="6" width="12" style="163" bestFit="1" customWidth="1"/>
    <col min="7" max="8" width="13.5" style="163" bestFit="1" customWidth="1"/>
    <col min="9" max="10" width="13.33203125" style="163" bestFit="1" customWidth="1"/>
    <col min="11" max="11" width="32.6640625" style="163" bestFit="1" customWidth="1"/>
    <col min="12" max="14" width="13.33203125" style="163" bestFit="1" customWidth="1"/>
    <col min="15" max="16384" width="11.5" style="163"/>
  </cols>
  <sheetData>
    <row r="2" spans="1:8" ht="34" x14ac:dyDescent="0.2">
      <c r="B2" s="462" t="s">
        <v>233</v>
      </c>
      <c r="C2" s="463"/>
      <c r="D2" s="464"/>
      <c r="E2" s="462" t="s">
        <v>234</v>
      </c>
      <c r="F2" s="463"/>
      <c r="G2" s="464"/>
      <c r="H2" s="164" t="s">
        <v>235</v>
      </c>
    </row>
    <row r="3" spans="1:8" ht="17" x14ac:dyDescent="0.2">
      <c r="A3" s="164" t="s">
        <v>236</v>
      </c>
      <c r="B3" s="164" t="s">
        <v>237</v>
      </c>
      <c r="C3" s="164" t="s">
        <v>238</v>
      </c>
      <c r="D3" s="164" t="s">
        <v>169</v>
      </c>
      <c r="E3" s="164" t="s">
        <v>237</v>
      </c>
      <c r="F3" s="164" t="s">
        <v>238</v>
      </c>
      <c r="G3" s="164" t="s">
        <v>169</v>
      </c>
      <c r="H3" s="165"/>
    </row>
    <row r="4" spans="1:8" ht="17" x14ac:dyDescent="0.2">
      <c r="A4" s="164" t="s">
        <v>239</v>
      </c>
      <c r="B4" s="166">
        <v>600</v>
      </c>
      <c r="C4" s="166">
        <v>20</v>
      </c>
      <c r="D4" s="166">
        <v>12000</v>
      </c>
      <c r="E4" s="166">
        <v>400</v>
      </c>
      <c r="F4" s="166">
        <v>25</v>
      </c>
      <c r="G4" s="166">
        <v>10000</v>
      </c>
      <c r="H4" s="166">
        <v>22000</v>
      </c>
    </row>
    <row r="5" spans="1:8" ht="17" x14ac:dyDescent="0.2">
      <c r="A5" s="164" t="s">
        <v>240</v>
      </c>
      <c r="B5" s="166"/>
      <c r="C5" s="167"/>
      <c r="D5" s="166">
        <v>3200</v>
      </c>
      <c r="E5" s="168"/>
      <c r="F5" s="166"/>
      <c r="G5" s="166">
        <v>4500</v>
      </c>
      <c r="H5" s="166">
        <v>7700</v>
      </c>
    </row>
    <row r="6" spans="1:8" ht="17" x14ac:dyDescent="0.2">
      <c r="A6" s="164" t="s">
        <v>241</v>
      </c>
      <c r="B6" s="166"/>
      <c r="C6" s="166"/>
      <c r="D6" s="166"/>
      <c r="E6" s="166"/>
      <c r="F6" s="166"/>
      <c r="G6" s="166"/>
      <c r="H6" s="166">
        <v>18000</v>
      </c>
    </row>
    <row r="7" spans="1:8" ht="14.25" customHeight="1" x14ac:dyDescent="0.2">
      <c r="A7" s="164" t="s">
        <v>242</v>
      </c>
      <c r="B7" s="166"/>
      <c r="C7" s="166"/>
      <c r="D7" s="166"/>
      <c r="E7" s="166"/>
      <c r="F7" s="166"/>
      <c r="G7" s="166"/>
      <c r="H7" s="166">
        <v>1600</v>
      </c>
    </row>
    <row r="8" spans="1:8" ht="17" x14ac:dyDescent="0.2">
      <c r="A8" s="164" t="s">
        <v>243</v>
      </c>
      <c r="B8" s="166"/>
      <c r="C8" s="166"/>
      <c r="D8" s="166"/>
      <c r="E8" s="166"/>
      <c r="F8" s="166"/>
      <c r="G8" s="166"/>
      <c r="H8" s="166">
        <v>4000</v>
      </c>
    </row>
    <row r="9" spans="1:8" ht="17" x14ac:dyDescent="0.2">
      <c r="A9" s="164" t="s">
        <v>244</v>
      </c>
      <c r="B9" s="166"/>
      <c r="C9" s="166"/>
      <c r="D9" s="166"/>
      <c r="E9" s="166"/>
      <c r="F9" s="166"/>
      <c r="G9" s="166"/>
      <c r="H9" s="166">
        <v>53300</v>
      </c>
    </row>
    <row r="10" spans="1:8" x14ac:dyDescent="0.2">
      <c r="A10" s="163">
        <v>0</v>
      </c>
    </row>
    <row r="12" spans="1:8" ht="17" x14ac:dyDescent="0.2">
      <c r="A12" s="169" t="s">
        <v>162</v>
      </c>
      <c r="B12" s="460" t="s">
        <v>239</v>
      </c>
      <c r="C12" s="461"/>
      <c r="E12" s="170" t="s">
        <v>163</v>
      </c>
      <c r="F12" s="460" t="s">
        <v>241</v>
      </c>
      <c r="G12" s="461"/>
      <c r="H12" s="163">
        <f>H6</f>
        <v>18000</v>
      </c>
    </row>
    <row r="13" spans="1:8" x14ac:dyDescent="0.2">
      <c r="B13" s="460" t="s">
        <v>240</v>
      </c>
      <c r="C13" s="461"/>
      <c r="E13" s="170"/>
      <c r="F13" s="460" t="s">
        <v>242</v>
      </c>
      <c r="G13" s="461"/>
      <c r="H13" s="163">
        <f>H7</f>
        <v>1600</v>
      </c>
    </row>
    <row r="14" spans="1:8" x14ac:dyDescent="0.2">
      <c r="F14" s="460" t="s">
        <v>243</v>
      </c>
      <c r="G14" s="461"/>
      <c r="H14" s="171">
        <f>H8</f>
        <v>4000</v>
      </c>
    </row>
    <row r="15" spans="1:8" x14ac:dyDescent="0.2">
      <c r="H15" s="163">
        <f>SUM(H12:H14)</f>
        <v>23600</v>
      </c>
    </row>
    <row r="17" spans="1:8" x14ac:dyDescent="0.2">
      <c r="H17" s="163" t="s">
        <v>245</v>
      </c>
    </row>
    <row r="19" spans="1:8" x14ac:dyDescent="0.2">
      <c r="A19" s="172" t="s">
        <v>246</v>
      </c>
      <c r="B19" s="172" t="s">
        <v>247</v>
      </c>
      <c r="C19" s="172" t="s">
        <v>248</v>
      </c>
      <c r="D19" s="172" t="s">
        <v>249</v>
      </c>
    </row>
    <row r="20" spans="1:8" x14ac:dyDescent="0.2">
      <c r="A20" s="172"/>
      <c r="B20" s="172"/>
      <c r="C20" s="172"/>
      <c r="D20" s="172"/>
      <c r="F20" s="163" t="s">
        <v>250</v>
      </c>
      <c r="G20" s="163" t="s">
        <v>251</v>
      </c>
      <c r="H20" s="163">
        <v>1000</v>
      </c>
    </row>
    <row r="21" spans="1:8" ht="17" x14ac:dyDescent="0.2">
      <c r="A21" s="164" t="s">
        <v>239</v>
      </c>
      <c r="B21" s="172">
        <f>D4</f>
        <v>12000</v>
      </c>
      <c r="C21" s="172">
        <f>G4</f>
        <v>10000</v>
      </c>
      <c r="D21" s="172">
        <f>B21+C21</f>
        <v>22000</v>
      </c>
      <c r="F21" s="163" t="s">
        <v>252</v>
      </c>
      <c r="H21" s="163">
        <f>H15/H20</f>
        <v>23.6</v>
      </c>
    </row>
    <row r="22" spans="1:8" ht="17" x14ac:dyDescent="0.2">
      <c r="A22" s="164" t="s">
        <v>240</v>
      </c>
      <c r="B22" s="172">
        <f>D5</f>
        <v>3200</v>
      </c>
      <c r="C22" s="172">
        <f>G5</f>
        <v>4500</v>
      </c>
      <c r="D22" s="172">
        <f>B22+C22</f>
        <v>7700</v>
      </c>
    </row>
    <row r="23" spans="1:8" ht="17" x14ac:dyDescent="0.2">
      <c r="A23" s="164" t="s">
        <v>241</v>
      </c>
      <c r="B23" s="172"/>
      <c r="C23" s="172"/>
      <c r="D23" s="173">
        <v>18000</v>
      </c>
    </row>
    <row r="24" spans="1:8" ht="20.25" customHeight="1" x14ac:dyDescent="0.2">
      <c r="A24" s="164" t="s">
        <v>242</v>
      </c>
      <c r="B24" s="172">
        <f ca="1">600*B23:D24</f>
        <v>0</v>
      </c>
      <c r="C24" s="172"/>
      <c r="D24" s="173">
        <v>1600</v>
      </c>
    </row>
    <row r="25" spans="1:8" ht="17" x14ac:dyDescent="0.2">
      <c r="A25" s="164" t="s">
        <v>243</v>
      </c>
      <c r="B25" s="172"/>
      <c r="C25" s="172"/>
      <c r="D25" s="173">
        <v>4000</v>
      </c>
    </row>
    <row r="26" spans="1:8" x14ac:dyDescent="0.2">
      <c r="A26" s="172" t="s">
        <v>253</v>
      </c>
      <c r="B26" s="172">
        <f>600*H21</f>
        <v>14160</v>
      </c>
      <c r="C26" s="172">
        <f>400*H21</f>
        <v>9440</v>
      </c>
      <c r="D26" s="172">
        <f>D23+D24+D25</f>
        <v>23600</v>
      </c>
    </row>
    <row r="27" spans="1:8" x14ac:dyDescent="0.2">
      <c r="A27" s="172" t="s">
        <v>158</v>
      </c>
      <c r="B27" s="172">
        <f>B22+B26+B21</f>
        <v>29360</v>
      </c>
      <c r="C27" s="172">
        <f>C22+C21+C26</f>
        <v>23940</v>
      </c>
      <c r="D27" s="172">
        <f>B27+C27</f>
        <v>53300</v>
      </c>
    </row>
    <row r="30" spans="1:8" x14ac:dyDescent="0.2">
      <c r="A30" s="163" t="s">
        <v>254</v>
      </c>
    </row>
    <row r="32" spans="1:8" x14ac:dyDescent="0.2">
      <c r="A32" s="163" t="s">
        <v>255</v>
      </c>
    </row>
    <row r="33" spans="1:8" x14ac:dyDescent="0.2">
      <c r="A33" s="163" t="s">
        <v>256</v>
      </c>
    </row>
    <row r="34" spans="1:8" x14ac:dyDescent="0.2">
      <c r="A34" s="163" t="s">
        <v>257</v>
      </c>
    </row>
    <row r="35" spans="1:8" x14ac:dyDescent="0.2">
      <c r="A35" s="163" t="s">
        <v>258</v>
      </c>
      <c r="B35" s="163" t="s">
        <v>247</v>
      </c>
      <c r="D35" s="174" t="s">
        <v>259</v>
      </c>
      <c r="E35" s="175">
        <f>B27/0.8</f>
        <v>36700</v>
      </c>
      <c r="F35" s="175" t="s">
        <v>260</v>
      </c>
    </row>
    <row r="36" spans="1:8" x14ac:dyDescent="0.2">
      <c r="A36" s="163" t="s">
        <v>261</v>
      </c>
      <c r="B36" s="163" t="s">
        <v>248</v>
      </c>
      <c r="D36" s="174" t="s">
        <v>259</v>
      </c>
      <c r="E36" s="175">
        <f>C27/0.8</f>
        <v>29925</v>
      </c>
      <c r="F36" s="175" t="s">
        <v>262</v>
      </c>
    </row>
    <row r="39" spans="1:8" x14ac:dyDescent="0.2">
      <c r="A39" s="163" t="s">
        <v>263</v>
      </c>
      <c r="C39" s="163" t="s">
        <v>264</v>
      </c>
    </row>
    <row r="41" spans="1:8" x14ac:dyDescent="0.2">
      <c r="A41" s="163" t="s">
        <v>265</v>
      </c>
      <c r="B41" s="163" t="s">
        <v>205</v>
      </c>
      <c r="C41" s="163">
        <f>E35</f>
        <v>36700</v>
      </c>
      <c r="E41" s="163" t="s">
        <v>266</v>
      </c>
      <c r="F41" s="163" t="s">
        <v>267</v>
      </c>
      <c r="G41" s="163">
        <v>50</v>
      </c>
      <c r="H41" s="163" t="s">
        <v>268</v>
      </c>
    </row>
    <row r="42" spans="1:8" x14ac:dyDescent="0.2">
      <c r="F42" s="163" t="s">
        <v>269</v>
      </c>
      <c r="G42" s="163">
        <v>66.67</v>
      </c>
      <c r="H42" s="163" t="s">
        <v>268</v>
      </c>
    </row>
    <row r="43" spans="1:8" x14ac:dyDescent="0.2">
      <c r="A43" s="163" t="s">
        <v>270</v>
      </c>
      <c r="B43" s="163">
        <v>50</v>
      </c>
      <c r="C43" s="163" t="s">
        <v>268</v>
      </c>
      <c r="D43" s="163">
        <f>C41/B43</f>
        <v>734</v>
      </c>
      <c r="E43" s="163" t="s">
        <v>271</v>
      </c>
      <c r="F43" s="163" t="s">
        <v>272</v>
      </c>
      <c r="G43" s="163">
        <v>100</v>
      </c>
      <c r="H43" s="163" t="s">
        <v>268</v>
      </c>
    </row>
    <row r="44" spans="1:8" x14ac:dyDescent="0.2">
      <c r="B44" s="163">
        <v>66.67</v>
      </c>
      <c r="C44" s="163" t="s">
        <v>268</v>
      </c>
      <c r="D44" s="163">
        <f>C41/B44</f>
        <v>550.47247637618113</v>
      </c>
      <c r="E44" s="163" t="s">
        <v>271</v>
      </c>
    </row>
    <row r="45" spans="1:8" x14ac:dyDescent="0.2">
      <c r="B45" s="163">
        <v>100</v>
      </c>
      <c r="C45" s="163" t="s">
        <v>268</v>
      </c>
      <c r="D45" s="163">
        <f>C41/B45</f>
        <v>367</v>
      </c>
      <c r="E45" s="163" t="s">
        <v>271</v>
      </c>
    </row>
  </sheetData>
  <mergeCells count="7">
    <mergeCell ref="F14:G14"/>
    <mergeCell ref="B2:D2"/>
    <mergeCell ref="E2:G2"/>
    <mergeCell ref="B12:C12"/>
    <mergeCell ref="F12:G12"/>
    <mergeCell ref="B13:C13"/>
    <mergeCell ref="F13:G1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28"/>
  <sheetViews>
    <sheetView topLeftCell="A100" workbookViewId="0">
      <selection activeCell="E133" sqref="E133"/>
    </sheetView>
  </sheetViews>
  <sheetFormatPr baseColWidth="10" defaultColWidth="11.5" defaultRowHeight="15" x14ac:dyDescent="0.2"/>
  <cols>
    <col min="1" max="1" width="41.5" style="261" bestFit="1" customWidth="1"/>
    <col min="2" max="2" width="18.33203125" style="261" bestFit="1" customWidth="1"/>
    <col min="3" max="3" width="12.83203125" style="261" bestFit="1" customWidth="1"/>
    <col min="4" max="4" width="21.5" style="261" bestFit="1" customWidth="1"/>
    <col min="5" max="5" width="20.5" style="261" bestFit="1" customWidth="1"/>
    <col min="6" max="6" width="25.83203125" style="261" bestFit="1" customWidth="1"/>
    <col min="7" max="7" width="12.83203125" style="261" bestFit="1" customWidth="1"/>
    <col min="8" max="8" width="9.5" style="261" bestFit="1" customWidth="1"/>
    <col min="9" max="9" width="12.83203125" style="261" bestFit="1" customWidth="1"/>
    <col min="10" max="12" width="11.5" style="261"/>
    <col min="13" max="13" width="10.33203125" style="261" bestFit="1" customWidth="1"/>
    <col min="14" max="16384" width="11.5" style="261"/>
  </cols>
  <sheetData>
    <row r="1" spans="1:8" x14ac:dyDescent="0.2">
      <c r="B1" s="261" t="s">
        <v>420</v>
      </c>
      <c r="D1" s="261" t="s">
        <v>421</v>
      </c>
      <c r="F1" s="261" t="s">
        <v>422</v>
      </c>
      <c r="G1" s="261" t="s">
        <v>423</v>
      </c>
    </row>
    <row r="3" spans="1:8" x14ac:dyDescent="0.2">
      <c r="H3" s="261" t="s">
        <v>424</v>
      </c>
    </row>
    <row r="4" spans="1:8" x14ac:dyDescent="0.2">
      <c r="A4" s="261" t="s">
        <v>425</v>
      </c>
    </row>
    <row r="5" spans="1:8" x14ac:dyDescent="0.2">
      <c r="A5" s="261" t="s">
        <v>426</v>
      </c>
    </row>
    <row r="6" spans="1:8" x14ac:dyDescent="0.2">
      <c r="A6" s="262"/>
      <c r="B6" s="262" t="s">
        <v>427</v>
      </c>
      <c r="C6" s="262" t="s">
        <v>428</v>
      </c>
      <c r="D6" s="262" t="s">
        <v>429</v>
      </c>
      <c r="E6" s="263"/>
    </row>
    <row r="7" spans="1:8" x14ac:dyDescent="0.2">
      <c r="A7" s="262" t="s">
        <v>430</v>
      </c>
      <c r="B7" s="262">
        <v>3000</v>
      </c>
      <c r="C7" s="262">
        <v>1</v>
      </c>
      <c r="D7" s="262">
        <v>3000</v>
      </c>
      <c r="E7" s="263"/>
    </row>
    <row r="8" spans="1:8" x14ac:dyDescent="0.2">
      <c r="A8" s="262" t="s">
        <v>431</v>
      </c>
      <c r="B8" s="262"/>
      <c r="C8" s="262"/>
      <c r="D8" s="262">
        <v>300</v>
      </c>
      <c r="E8" s="263"/>
    </row>
    <row r="9" spans="1:8" x14ac:dyDescent="0.2">
      <c r="A9" s="262" t="s">
        <v>432</v>
      </c>
      <c r="B9" s="262">
        <v>3000</v>
      </c>
      <c r="C9" s="262">
        <v>1.1000000000000001</v>
      </c>
      <c r="D9" s="262">
        <v>3300</v>
      </c>
      <c r="E9" s="263" t="s">
        <v>433</v>
      </c>
    </row>
    <row r="10" spans="1:8" x14ac:dyDescent="0.2">
      <c r="A10" s="264"/>
      <c r="B10" s="264"/>
      <c r="C10" s="264"/>
      <c r="D10" s="264"/>
    </row>
    <row r="11" spans="1:8" x14ac:dyDescent="0.2">
      <c r="A11" s="262" t="s">
        <v>434</v>
      </c>
      <c r="B11" s="262"/>
      <c r="C11" s="262"/>
      <c r="D11" s="265"/>
    </row>
    <row r="14" spans="1:8" x14ac:dyDescent="0.2">
      <c r="A14" s="261" t="s">
        <v>435</v>
      </c>
      <c r="B14" s="262" t="s">
        <v>427</v>
      </c>
      <c r="C14" s="262" t="s">
        <v>428</v>
      </c>
      <c r="D14" s="262" t="s">
        <v>429</v>
      </c>
    </row>
    <row r="15" spans="1:8" x14ac:dyDescent="0.2">
      <c r="A15" s="262" t="s">
        <v>436</v>
      </c>
      <c r="B15" s="262">
        <v>3000</v>
      </c>
      <c r="C15" s="262">
        <v>1.1000000000000001</v>
      </c>
      <c r="D15" s="262">
        <f>B15*C15</f>
        <v>3300.0000000000005</v>
      </c>
    </row>
    <row r="16" spans="1:8" x14ac:dyDescent="0.2">
      <c r="A16" s="262" t="s">
        <v>437</v>
      </c>
      <c r="B16" s="262">
        <v>1300</v>
      </c>
      <c r="C16" s="262">
        <v>1.1000000000000001</v>
      </c>
      <c r="D16" s="262">
        <f>B16*C16</f>
        <v>1430.0000000000002</v>
      </c>
      <c r="E16" s="261" t="s">
        <v>438</v>
      </c>
    </row>
    <row r="17" spans="1:8" x14ac:dyDescent="0.2">
      <c r="A17" s="262" t="s">
        <v>439</v>
      </c>
      <c r="B17" s="262">
        <v>1200</v>
      </c>
      <c r="C17" s="262">
        <v>1.1000000000000001</v>
      </c>
      <c r="D17" s="262">
        <f>B17*C17</f>
        <v>1320</v>
      </c>
      <c r="E17" s="261" t="s">
        <v>438</v>
      </c>
    </row>
    <row r="18" spans="1:8" x14ac:dyDescent="0.2">
      <c r="A18" s="262" t="s">
        <v>440</v>
      </c>
      <c r="B18" s="132">
        <f>B15-B16-B17</f>
        <v>500</v>
      </c>
      <c r="C18" s="132">
        <v>1.1000000000000001</v>
      </c>
      <c r="D18" s="132">
        <f>B18*C18</f>
        <v>550</v>
      </c>
      <c r="F18" s="261" t="s">
        <v>441</v>
      </c>
    </row>
    <row r="19" spans="1:8" x14ac:dyDescent="0.2">
      <c r="F19" s="261" t="s">
        <v>309</v>
      </c>
      <c r="G19" s="261">
        <v>1000</v>
      </c>
    </row>
    <row r="20" spans="1:8" x14ac:dyDescent="0.2">
      <c r="A20" s="261" t="s">
        <v>442</v>
      </c>
      <c r="F20" s="261" t="s">
        <v>443</v>
      </c>
      <c r="G20" s="261">
        <v>3000</v>
      </c>
    </row>
    <row r="21" spans="1:8" x14ac:dyDescent="0.2">
      <c r="B21" s="266" t="s">
        <v>444</v>
      </c>
      <c r="C21" s="266" t="s">
        <v>445</v>
      </c>
      <c r="D21" s="266" t="s">
        <v>446</v>
      </c>
      <c r="F21" s="261" t="s">
        <v>91</v>
      </c>
      <c r="G21" s="261">
        <v>1000</v>
      </c>
    </row>
    <row r="22" spans="1:8" x14ac:dyDescent="0.2">
      <c r="A22" s="262" t="s">
        <v>447</v>
      </c>
      <c r="B22" s="262">
        <f>D16</f>
        <v>1430.0000000000002</v>
      </c>
      <c r="C22" s="262">
        <f>D17</f>
        <v>1320</v>
      </c>
      <c r="D22" s="262">
        <f>B22+C22</f>
        <v>2750</v>
      </c>
      <c r="F22" s="261" t="s">
        <v>448</v>
      </c>
      <c r="G22" s="160">
        <f>SUM(G19:G21)</f>
        <v>5000</v>
      </c>
      <c r="H22" s="261">
        <f>G22/G23</f>
        <v>2</v>
      </c>
    </row>
    <row r="23" spans="1:8" x14ac:dyDescent="0.2">
      <c r="A23" s="262" t="s">
        <v>449</v>
      </c>
      <c r="B23" s="262">
        <f>G24</f>
        <v>2600</v>
      </c>
      <c r="C23" s="262">
        <f>G25</f>
        <v>2400</v>
      </c>
      <c r="D23" s="262">
        <f>B23+C23</f>
        <v>5000</v>
      </c>
      <c r="F23" s="261" t="s">
        <v>450</v>
      </c>
      <c r="G23" s="261">
        <f>B16+B17</f>
        <v>2500</v>
      </c>
    </row>
    <row r="24" spans="1:8" x14ac:dyDescent="0.2">
      <c r="A24" s="262" t="s">
        <v>442</v>
      </c>
      <c r="B24" s="262">
        <f>SUM(B22:B23)</f>
        <v>4030</v>
      </c>
      <c r="C24" s="262">
        <f>SUM(C22:C23)</f>
        <v>3720</v>
      </c>
      <c r="D24" s="262">
        <f>B24+C24</f>
        <v>7750</v>
      </c>
      <c r="F24" s="261" t="s">
        <v>451</v>
      </c>
      <c r="G24" s="261">
        <f>H22*B16</f>
        <v>2600</v>
      </c>
    </row>
    <row r="25" spans="1:8" x14ac:dyDescent="0.2">
      <c r="A25" s="262" t="s">
        <v>452</v>
      </c>
      <c r="B25" s="262">
        <v>100</v>
      </c>
      <c r="C25" s="262">
        <v>200</v>
      </c>
      <c r="F25" s="261" t="s">
        <v>453</v>
      </c>
      <c r="G25" s="261">
        <f>H22*B17</f>
        <v>2400</v>
      </c>
    </row>
    <row r="26" spans="1:8" x14ac:dyDescent="0.2">
      <c r="A26" s="262" t="s">
        <v>454</v>
      </c>
      <c r="B26" s="262">
        <f>B24/B25</f>
        <v>40.299999999999997</v>
      </c>
      <c r="C26" s="262">
        <f>C24/C25</f>
        <v>18.600000000000001</v>
      </c>
      <c r="G26" s="261">
        <f>SUM(G24:G25)</f>
        <v>5000</v>
      </c>
    </row>
    <row r="27" spans="1:8" x14ac:dyDescent="0.2">
      <c r="B27" s="261" t="s">
        <v>455</v>
      </c>
      <c r="C27" s="261" t="s">
        <v>455</v>
      </c>
    </row>
    <row r="29" spans="1:8" x14ac:dyDescent="0.2">
      <c r="A29" s="261" t="s">
        <v>456</v>
      </c>
    </row>
    <row r="31" spans="1:8" x14ac:dyDescent="0.2">
      <c r="A31" s="261" t="s">
        <v>451</v>
      </c>
      <c r="B31" s="262" t="s">
        <v>427</v>
      </c>
      <c r="C31" s="262" t="s">
        <v>428</v>
      </c>
      <c r="D31" s="262" t="s">
        <v>429</v>
      </c>
    </row>
    <row r="32" spans="1:8" x14ac:dyDescent="0.2">
      <c r="A32" s="262" t="s">
        <v>435</v>
      </c>
      <c r="B32" s="262"/>
      <c r="C32" s="262"/>
      <c r="D32" s="262"/>
    </row>
    <row r="33" spans="1:6" x14ac:dyDescent="0.2">
      <c r="A33" s="262" t="s">
        <v>457</v>
      </c>
      <c r="B33" s="262">
        <f>B25</f>
        <v>100</v>
      </c>
      <c r="C33" s="262">
        <f>B26</f>
        <v>40.299999999999997</v>
      </c>
      <c r="D33" s="262">
        <f>B24</f>
        <v>4030</v>
      </c>
      <c r="F33" s="261">
        <f>D32+D33</f>
        <v>4030</v>
      </c>
    </row>
    <row r="34" spans="1:6" x14ac:dyDescent="0.2">
      <c r="A34" s="262" t="s">
        <v>458</v>
      </c>
      <c r="B34" s="262">
        <v>90</v>
      </c>
      <c r="C34" s="262">
        <v>40.299999999999997</v>
      </c>
      <c r="D34" s="262">
        <f>B34*C34</f>
        <v>3626.9999999999995</v>
      </c>
    </row>
    <row r="35" spans="1:6" x14ac:dyDescent="0.2">
      <c r="A35" s="262" t="s">
        <v>440</v>
      </c>
      <c r="B35" s="132">
        <f>B33-B34</f>
        <v>10</v>
      </c>
      <c r="C35" s="132">
        <v>40.299999999999997</v>
      </c>
      <c r="D35" s="132">
        <f>B35*C35</f>
        <v>403</v>
      </c>
      <c r="F35" s="261">
        <f>D34+D35</f>
        <v>4029.9999999999995</v>
      </c>
    </row>
    <row r="38" spans="1:6" x14ac:dyDescent="0.2">
      <c r="A38" s="261" t="s">
        <v>453</v>
      </c>
      <c r="B38" s="262" t="s">
        <v>427</v>
      </c>
      <c r="C38" s="262" t="s">
        <v>428</v>
      </c>
      <c r="D38" s="262" t="s">
        <v>429</v>
      </c>
    </row>
    <row r="39" spans="1:6" x14ac:dyDescent="0.2">
      <c r="A39" s="262" t="s">
        <v>435</v>
      </c>
      <c r="B39" s="262"/>
      <c r="C39" s="262"/>
      <c r="D39" s="262"/>
    </row>
    <row r="40" spans="1:6" x14ac:dyDescent="0.2">
      <c r="A40" s="262" t="s">
        <v>459</v>
      </c>
      <c r="B40" s="262">
        <f>C25</f>
        <v>200</v>
      </c>
      <c r="C40" s="262">
        <f>C26</f>
        <v>18.600000000000001</v>
      </c>
      <c r="D40" s="262">
        <f>C24</f>
        <v>3720</v>
      </c>
    </row>
    <row r="41" spans="1:6" x14ac:dyDescent="0.2">
      <c r="A41" s="262" t="s">
        <v>460</v>
      </c>
      <c r="B41" s="262">
        <v>80</v>
      </c>
      <c r="C41" s="262">
        <v>18.600000000000001</v>
      </c>
      <c r="D41" s="262">
        <f>B41*C41</f>
        <v>1488</v>
      </c>
    </row>
    <row r="42" spans="1:6" x14ac:dyDescent="0.2">
      <c r="A42" s="262" t="s">
        <v>440</v>
      </c>
      <c r="B42" s="132">
        <f>B40-B41</f>
        <v>120</v>
      </c>
      <c r="C42" s="132">
        <v>18.600000000000001</v>
      </c>
      <c r="D42" s="132">
        <f>B42*C42</f>
        <v>2232</v>
      </c>
    </row>
    <row r="44" spans="1:6" x14ac:dyDescent="0.2">
      <c r="A44" s="261" t="s">
        <v>461</v>
      </c>
    </row>
    <row r="45" spans="1:6" x14ac:dyDescent="0.2">
      <c r="A45" s="261" t="s">
        <v>461</v>
      </c>
      <c r="B45" s="465" t="s">
        <v>444</v>
      </c>
      <c r="C45" s="465"/>
      <c r="D45" s="465" t="s">
        <v>445</v>
      </c>
      <c r="E45" s="465"/>
    </row>
    <row r="46" spans="1:6" x14ac:dyDescent="0.2">
      <c r="B46" s="262" t="s">
        <v>462</v>
      </c>
      <c r="C46" s="262" t="s">
        <v>463</v>
      </c>
      <c r="D46" s="262" t="s">
        <v>462</v>
      </c>
      <c r="E46" s="262" t="s">
        <v>463</v>
      </c>
      <c r="F46" s="267" t="s">
        <v>464</v>
      </c>
    </row>
    <row r="47" spans="1:6" x14ac:dyDescent="0.2">
      <c r="A47" s="261" t="s">
        <v>465</v>
      </c>
      <c r="B47" s="262">
        <f>B34*C47</f>
        <v>4500</v>
      </c>
      <c r="C47" s="262">
        <v>50</v>
      </c>
      <c r="D47" s="262">
        <f>B41*E47</f>
        <v>2400</v>
      </c>
      <c r="E47" s="262">
        <v>30</v>
      </c>
      <c r="F47" s="262">
        <f>B47+D47</f>
        <v>6900</v>
      </c>
    </row>
    <row r="48" spans="1:6" x14ac:dyDescent="0.2">
      <c r="A48" s="261" t="s">
        <v>466</v>
      </c>
      <c r="B48" s="262">
        <f>-D34</f>
        <v>-3626.9999999999995</v>
      </c>
      <c r="C48" s="262">
        <v>40.299999999999997</v>
      </c>
      <c r="D48" s="262">
        <f>-D41</f>
        <v>-1488</v>
      </c>
      <c r="E48" s="262">
        <v>18.600000000000001</v>
      </c>
      <c r="F48" s="262">
        <f>B48+D48</f>
        <v>-5115</v>
      </c>
    </row>
    <row r="49" spans="1:13" x14ac:dyDescent="0.2">
      <c r="A49" s="261" t="s">
        <v>467</v>
      </c>
      <c r="B49" s="132">
        <f>SUM(B47:B48)</f>
        <v>873.00000000000045</v>
      </c>
      <c r="C49" s="132">
        <f>C47-C48</f>
        <v>9.7000000000000028</v>
      </c>
      <c r="D49" s="265">
        <f>SUM(D47:D48)</f>
        <v>912</v>
      </c>
      <c r="E49" s="265">
        <f>E47-E48</f>
        <v>11.399999999999999</v>
      </c>
      <c r="F49" s="262">
        <f>B49+D49</f>
        <v>1785.0000000000005</v>
      </c>
    </row>
    <row r="51" spans="1:13" x14ac:dyDescent="0.2">
      <c r="A51" s="261" t="s">
        <v>468</v>
      </c>
      <c r="B51" s="261" t="s">
        <v>469</v>
      </c>
      <c r="D51" s="261" t="s">
        <v>470</v>
      </c>
    </row>
    <row r="53" spans="1:13" x14ac:dyDescent="0.2">
      <c r="B53" s="261" t="s">
        <v>402</v>
      </c>
      <c r="E53" s="261" t="s">
        <v>471</v>
      </c>
    </row>
    <row r="54" spans="1:13" x14ac:dyDescent="0.2">
      <c r="B54" s="261" t="s">
        <v>472</v>
      </c>
      <c r="C54" s="261">
        <v>70</v>
      </c>
      <c r="D54" s="261" t="s">
        <v>473</v>
      </c>
      <c r="E54" s="261" t="s">
        <v>472</v>
      </c>
      <c r="F54" s="261">
        <v>1500</v>
      </c>
      <c r="G54" s="261" t="s">
        <v>21</v>
      </c>
      <c r="M54" s="261">
        <v>47.7</v>
      </c>
    </row>
    <row r="55" spans="1:13" x14ac:dyDescent="0.2">
      <c r="B55" s="261" t="s">
        <v>474</v>
      </c>
      <c r="C55" s="261">
        <v>160</v>
      </c>
      <c r="D55" s="261" t="s">
        <v>473</v>
      </c>
      <c r="E55" s="261" t="s">
        <v>474</v>
      </c>
      <c r="F55" s="261">
        <v>900</v>
      </c>
      <c r="G55" s="261" t="s">
        <v>21</v>
      </c>
      <c r="M55" s="261">
        <v>42.5</v>
      </c>
    </row>
    <row r="56" spans="1:13" x14ac:dyDescent="0.2">
      <c r="F56" s="261">
        <f>SUM(F54:F55)</f>
        <v>2400</v>
      </c>
    </row>
    <row r="58" spans="1:13" x14ac:dyDescent="0.2">
      <c r="B58" s="261" t="s">
        <v>427</v>
      </c>
      <c r="C58" s="261" t="s">
        <v>428</v>
      </c>
      <c r="D58" s="261" t="s">
        <v>429</v>
      </c>
    </row>
    <row r="59" spans="1:13" x14ac:dyDescent="0.2">
      <c r="A59" s="262" t="s">
        <v>435</v>
      </c>
      <c r="B59" s="132">
        <f>B18</f>
        <v>500</v>
      </c>
      <c r="C59" s="132">
        <f>C18</f>
        <v>1.1000000000000001</v>
      </c>
      <c r="D59" s="132">
        <f>D18</f>
        <v>550</v>
      </c>
    </row>
    <row r="60" spans="1:13" x14ac:dyDescent="0.2">
      <c r="A60" s="262" t="s">
        <v>436</v>
      </c>
      <c r="B60" s="262">
        <f>B15</f>
        <v>3000</v>
      </c>
      <c r="C60" s="262">
        <f>C15</f>
        <v>1.1000000000000001</v>
      </c>
      <c r="D60" s="262">
        <f>B60*C60</f>
        <v>3300.0000000000005</v>
      </c>
    </row>
    <row r="61" spans="1:13" x14ac:dyDescent="0.2">
      <c r="A61" s="262" t="s">
        <v>437</v>
      </c>
      <c r="B61" s="262">
        <f>F54</f>
        <v>1500</v>
      </c>
      <c r="C61" s="262">
        <v>1.1000000000000001</v>
      </c>
      <c r="D61" s="262">
        <f>B61*C61</f>
        <v>1650.0000000000002</v>
      </c>
    </row>
    <row r="62" spans="1:13" x14ac:dyDescent="0.2">
      <c r="A62" s="262" t="s">
        <v>439</v>
      </c>
      <c r="B62" s="262">
        <f>F55</f>
        <v>900</v>
      </c>
      <c r="C62" s="262">
        <v>1.1000000000000001</v>
      </c>
      <c r="D62" s="262">
        <f>B62*C62</f>
        <v>990.00000000000011</v>
      </c>
    </row>
    <row r="63" spans="1:13" x14ac:dyDescent="0.2">
      <c r="A63" s="262" t="s">
        <v>440</v>
      </c>
      <c r="B63" s="268">
        <f>B59+B60-B61-B62</f>
        <v>1100</v>
      </c>
      <c r="C63" s="268">
        <v>1.1000000000000001</v>
      </c>
      <c r="D63" s="268">
        <f>B63*C63</f>
        <v>1210</v>
      </c>
    </row>
    <row r="67" spans="1:9" x14ac:dyDescent="0.2">
      <c r="A67" s="262" t="s">
        <v>442</v>
      </c>
      <c r="B67" s="262" t="s">
        <v>444</v>
      </c>
      <c r="C67" s="262" t="s">
        <v>445</v>
      </c>
      <c r="D67" s="262" t="s">
        <v>446</v>
      </c>
      <c r="F67" s="261" t="s">
        <v>475</v>
      </c>
    </row>
    <row r="68" spans="1:9" x14ac:dyDescent="0.2">
      <c r="A68" s="262" t="s">
        <v>447</v>
      </c>
      <c r="B68" s="262">
        <f>D61</f>
        <v>1650.0000000000002</v>
      </c>
      <c r="C68" s="262">
        <f>D62</f>
        <v>990.00000000000011</v>
      </c>
      <c r="D68" s="262">
        <f>SUM(B68:C68)</f>
        <v>2640.0000000000005</v>
      </c>
      <c r="F68" s="269" t="s">
        <v>476</v>
      </c>
      <c r="I68" s="261">
        <v>2400</v>
      </c>
    </row>
    <row r="69" spans="1:9" x14ac:dyDescent="0.2">
      <c r="A69" s="262" t="s">
        <v>449</v>
      </c>
      <c r="B69" s="262">
        <f>B71*F72</f>
        <v>1666.6666666666667</v>
      </c>
      <c r="C69" s="262">
        <f>C71*F72</f>
        <v>3333.3333333333335</v>
      </c>
      <c r="D69" s="132">
        <v>5000</v>
      </c>
      <c r="F69" s="261" t="s">
        <v>477</v>
      </c>
      <c r="G69" s="261" t="s">
        <v>478</v>
      </c>
      <c r="I69" s="261">
        <v>5000</v>
      </c>
    </row>
    <row r="70" spans="1:9" x14ac:dyDescent="0.2">
      <c r="A70" s="262" t="s">
        <v>442</v>
      </c>
      <c r="B70" s="262">
        <f>SUM(B68:B69)</f>
        <v>3316.666666666667</v>
      </c>
      <c r="C70" s="262">
        <f>SUM(C68:C69)</f>
        <v>4323.3333333333339</v>
      </c>
      <c r="D70" s="262">
        <f>SUM(D68:D69)</f>
        <v>7640</v>
      </c>
      <c r="F70" s="160">
        <v>5000</v>
      </c>
      <c r="I70" s="261">
        <f>I69/I68</f>
        <v>2.0833333333333335</v>
      </c>
    </row>
    <row r="71" spans="1:9" x14ac:dyDescent="0.2">
      <c r="A71" s="262" t="s">
        <v>452</v>
      </c>
      <c r="B71" s="262">
        <v>100</v>
      </c>
      <c r="C71" s="262">
        <v>200</v>
      </c>
      <c r="F71" s="261">
        <v>300</v>
      </c>
    </row>
    <row r="72" spans="1:9" x14ac:dyDescent="0.2">
      <c r="A72" s="262" t="s">
        <v>479</v>
      </c>
      <c r="B72" s="262">
        <f>B70/B71</f>
        <v>33.166666666666671</v>
      </c>
      <c r="C72" s="262">
        <f>C70/C71</f>
        <v>21.616666666666671</v>
      </c>
      <c r="F72" s="261">
        <f>F70/F71</f>
        <v>16.666666666666668</v>
      </c>
    </row>
    <row r="75" spans="1:9" x14ac:dyDescent="0.2">
      <c r="A75" s="261" t="s">
        <v>456</v>
      </c>
    </row>
    <row r="77" spans="1:9" x14ac:dyDescent="0.2">
      <c r="A77" s="261" t="s">
        <v>451</v>
      </c>
      <c r="B77" s="261" t="s">
        <v>427</v>
      </c>
      <c r="C77" s="261" t="s">
        <v>428</v>
      </c>
      <c r="D77" s="261" t="s">
        <v>429</v>
      </c>
    </row>
    <row r="78" spans="1:9" x14ac:dyDescent="0.2">
      <c r="A78" s="261" t="s">
        <v>435</v>
      </c>
      <c r="B78" s="160">
        <v>10</v>
      </c>
      <c r="C78" s="160">
        <v>40.299999999999997</v>
      </c>
      <c r="D78" s="160">
        <v>403</v>
      </c>
    </row>
    <row r="79" spans="1:9" x14ac:dyDescent="0.2">
      <c r="A79" s="261" t="s">
        <v>459</v>
      </c>
      <c r="B79" s="261">
        <v>100</v>
      </c>
      <c r="C79" s="261">
        <f>B72</f>
        <v>33.166666666666671</v>
      </c>
      <c r="D79" s="261">
        <f>B70</f>
        <v>3316.666666666667</v>
      </c>
    </row>
    <row r="80" spans="1:9" ht="16" thickBot="1" x14ac:dyDescent="0.25">
      <c r="A80" s="131" t="s">
        <v>458</v>
      </c>
      <c r="B80" s="131">
        <v>70</v>
      </c>
      <c r="C80" s="131">
        <f>G80</f>
        <v>33.81515151515152</v>
      </c>
      <c r="D80" s="131">
        <f>B80*C80</f>
        <v>2367.0606060606065</v>
      </c>
      <c r="E80" s="261" t="s">
        <v>61</v>
      </c>
      <c r="F80" s="270" t="s">
        <v>480</v>
      </c>
      <c r="G80" s="261">
        <f>((D78+D79))/(110)</f>
        <v>33.81515151515152</v>
      </c>
    </row>
    <row r="81" spans="1:6" x14ac:dyDescent="0.2">
      <c r="A81" s="261" t="s">
        <v>440</v>
      </c>
      <c r="B81" s="271">
        <f>B78+B79-B80</f>
        <v>40</v>
      </c>
      <c r="C81" s="271">
        <f>C80</f>
        <v>33.81515151515152</v>
      </c>
      <c r="D81" s="271">
        <f>B81*C81</f>
        <v>1352.6060606060607</v>
      </c>
      <c r="F81" s="272" t="s">
        <v>481</v>
      </c>
    </row>
    <row r="84" spans="1:6" x14ac:dyDescent="0.2">
      <c r="A84" s="261" t="s">
        <v>453</v>
      </c>
      <c r="B84" s="261" t="s">
        <v>427</v>
      </c>
      <c r="C84" s="261" t="s">
        <v>428</v>
      </c>
      <c r="D84" s="261" t="s">
        <v>429</v>
      </c>
    </row>
    <row r="85" spans="1:6" x14ac:dyDescent="0.2">
      <c r="A85" s="261" t="s">
        <v>435</v>
      </c>
      <c r="B85" s="160">
        <v>120</v>
      </c>
      <c r="C85" s="160">
        <v>18.600000000000001</v>
      </c>
      <c r="D85" s="160">
        <v>2232</v>
      </c>
    </row>
    <row r="86" spans="1:6" x14ac:dyDescent="0.2">
      <c r="A86" s="261" t="s">
        <v>459</v>
      </c>
      <c r="B86" s="261">
        <v>200</v>
      </c>
      <c r="C86" s="261">
        <f>C72</f>
        <v>21.616666666666671</v>
      </c>
      <c r="D86" s="261">
        <f>C70</f>
        <v>4323.3333333333339</v>
      </c>
    </row>
    <row r="87" spans="1:6" x14ac:dyDescent="0.2">
      <c r="A87" s="131" t="s">
        <v>460</v>
      </c>
      <c r="B87" s="131">
        <v>160</v>
      </c>
      <c r="C87" s="131">
        <f>(D85+D86)/(B85+B86)</f>
        <v>20.485416666666669</v>
      </c>
      <c r="D87" s="131">
        <f>B87*C87</f>
        <v>3277.666666666667</v>
      </c>
    </row>
    <row r="88" spans="1:6" x14ac:dyDescent="0.2">
      <c r="A88" s="261" t="s">
        <v>440</v>
      </c>
      <c r="B88" s="271">
        <f>B85+B86-B87</f>
        <v>160</v>
      </c>
      <c r="C88" s="271">
        <f>C87</f>
        <v>20.485416666666669</v>
      </c>
      <c r="D88" s="271">
        <f>B88*C88</f>
        <v>3277.666666666667</v>
      </c>
    </row>
    <row r="90" spans="1:6" x14ac:dyDescent="0.2">
      <c r="A90" s="261" t="s">
        <v>461</v>
      </c>
    </row>
    <row r="91" spans="1:6" x14ac:dyDescent="0.2">
      <c r="B91" s="261" t="s">
        <v>444</v>
      </c>
      <c r="D91" s="261" t="s">
        <v>445</v>
      </c>
    </row>
    <row r="92" spans="1:6" x14ac:dyDescent="0.2">
      <c r="B92" s="261" t="s">
        <v>462</v>
      </c>
      <c r="C92" s="261" t="s">
        <v>463</v>
      </c>
      <c r="D92" s="261" t="s">
        <v>462</v>
      </c>
      <c r="E92" s="261" t="s">
        <v>463</v>
      </c>
      <c r="F92" s="261" t="s">
        <v>464</v>
      </c>
    </row>
    <row r="93" spans="1:6" x14ac:dyDescent="0.2">
      <c r="A93" s="261" t="s">
        <v>465</v>
      </c>
      <c r="B93" s="261">
        <f>B80*50</f>
        <v>3500</v>
      </c>
      <c r="C93" s="261">
        <v>50</v>
      </c>
      <c r="D93" s="261">
        <f>B87*E93</f>
        <v>4800</v>
      </c>
      <c r="E93" s="261">
        <v>30</v>
      </c>
      <c r="F93" s="261">
        <f>B93+D93</f>
        <v>8300</v>
      </c>
    </row>
    <row r="94" spans="1:6" x14ac:dyDescent="0.2">
      <c r="A94" s="261" t="s">
        <v>466</v>
      </c>
      <c r="B94" s="261">
        <f>D80</f>
        <v>2367.0606060606065</v>
      </c>
      <c r="C94" s="261">
        <v>40.299999999999997</v>
      </c>
      <c r="D94" s="261">
        <f>D87</f>
        <v>3277.666666666667</v>
      </c>
      <c r="E94" s="261">
        <v>18.600000000000001</v>
      </c>
      <c r="F94" s="261">
        <f>B94+D94</f>
        <v>5644.7272727272739</v>
      </c>
    </row>
    <row r="95" spans="1:6" x14ac:dyDescent="0.2">
      <c r="A95" s="261" t="s">
        <v>467</v>
      </c>
      <c r="B95" s="261">
        <f>B93-B94</f>
        <v>1132.9393939393935</v>
      </c>
      <c r="C95" s="261">
        <v>9.6999999999999993</v>
      </c>
      <c r="D95" s="261">
        <f>D93-D94</f>
        <v>1522.333333333333</v>
      </c>
      <c r="E95" s="261">
        <v>11.4</v>
      </c>
      <c r="F95" s="261">
        <f>F93-F94</f>
        <v>2655.2727272727261</v>
      </c>
    </row>
    <row r="99" spans="1:7" x14ac:dyDescent="0.2">
      <c r="A99" s="261" t="s">
        <v>442</v>
      </c>
    </row>
    <row r="100" spans="1:7" x14ac:dyDescent="0.2">
      <c r="B100" s="261" t="s">
        <v>444</v>
      </c>
      <c r="C100" s="261" t="s">
        <v>445</v>
      </c>
      <c r="D100" s="261" t="s">
        <v>446</v>
      </c>
      <c r="F100" s="261" t="s">
        <v>475</v>
      </c>
    </row>
    <row r="101" spans="1:7" x14ac:dyDescent="0.2">
      <c r="A101" s="261" t="s">
        <v>447</v>
      </c>
      <c r="B101" s="261">
        <f>D94</f>
        <v>3277.666666666667</v>
      </c>
      <c r="C101" s="261">
        <f>D95</f>
        <v>1522.333333333333</v>
      </c>
      <c r="D101" s="261">
        <f>SUM(B101:C101)</f>
        <v>4800</v>
      </c>
      <c r="F101" s="269" t="s">
        <v>476</v>
      </c>
    </row>
    <row r="102" spans="1:7" x14ac:dyDescent="0.2">
      <c r="A102" s="261" t="s">
        <v>449</v>
      </c>
      <c r="B102" s="261">
        <f>B104*F105</f>
        <v>2173.913043478261</v>
      </c>
      <c r="C102" s="261">
        <f>C104*F105</f>
        <v>4347.826086956522</v>
      </c>
      <c r="D102" s="261">
        <v>5000</v>
      </c>
      <c r="F102" s="261" t="s">
        <v>402</v>
      </c>
      <c r="G102" s="261" t="s">
        <v>482</v>
      </c>
    </row>
    <row r="103" spans="1:7" x14ac:dyDescent="0.2">
      <c r="A103" s="261" t="s">
        <v>442</v>
      </c>
      <c r="B103" s="261">
        <f>SUM(B101:B102)</f>
        <v>5451.579710144928</v>
      </c>
      <c r="C103" s="261">
        <f>SUM(C101:C102)</f>
        <v>5870.159420289855</v>
      </c>
      <c r="D103" s="261">
        <f>SUM(D101:D102)</f>
        <v>9800</v>
      </c>
      <c r="F103" s="261">
        <v>5000</v>
      </c>
    </row>
    <row r="104" spans="1:7" x14ac:dyDescent="0.2">
      <c r="A104" s="261" t="s">
        <v>452</v>
      </c>
      <c r="B104" s="261">
        <v>100</v>
      </c>
      <c r="C104" s="261">
        <v>200</v>
      </c>
      <c r="F104" s="261">
        <v>230</v>
      </c>
    </row>
    <row r="105" spans="1:7" x14ac:dyDescent="0.2">
      <c r="A105" s="261" t="s">
        <v>479</v>
      </c>
      <c r="B105" s="261">
        <f>B103/B104</f>
        <v>54.51579710144928</v>
      </c>
      <c r="C105" s="261">
        <f>C103/C104</f>
        <v>29.350797101449274</v>
      </c>
      <c r="F105" s="261">
        <f>F103/F104</f>
        <v>21.739130434782609</v>
      </c>
    </row>
    <row r="108" spans="1:7" x14ac:dyDescent="0.2">
      <c r="A108" s="261" t="s">
        <v>456</v>
      </c>
    </row>
    <row r="110" spans="1:7" x14ac:dyDescent="0.2">
      <c r="A110" s="262" t="s">
        <v>451</v>
      </c>
      <c r="B110" s="262" t="s">
        <v>427</v>
      </c>
      <c r="C110" s="262" t="s">
        <v>428</v>
      </c>
      <c r="D110" s="262" t="s">
        <v>429</v>
      </c>
    </row>
    <row r="111" spans="1:7" x14ac:dyDescent="0.2">
      <c r="A111" s="262" t="s">
        <v>435</v>
      </c>
      <c r="B111" s="262">
        <v>10</v>
      </c>
      <c r="C111" s="262">
        <v>40.299999999999997</v>
      </c>
      <c r="D111" s="262">
        <v>403</v>
      </c>
    </row>
    <row r="112" spans="1:7" x14ac:dyDescent="0.2">
      <c r="A112" s="262" t="s">
        <v>459</v>
      </c>
      <c r="B112" s="262">
        <v>100</v>
      </c>
      <c r="C112" s="262">
        <f>B105</f>
        <v>54.51579710144928</v>
      </c>
      <c r="D112" s="262">
        <f>B103</f>
        <v>5451.579710144928</v>
      </c>
    </row>
    <row r="113" spans="1:7" ht="16" thickBot="1" x14ac:dyDescent="0.25">
      <c r="A113" s="132" t="s">
        <v>458</v>
      </c>
      <c r="B113" s="132">
        <v>70</v>
      </c>
      <c r="C113" s="132">
        <f>G113</f>
        <v>53.223451910408436</v>
      </c>
      <c r="D113" s="132">
        <f>B113*C113</f>
        <v>3725.6416337285905</v>
      </c>
      <c r="E113" s="261" t="s">
        <v>61</v>
      </c>
      <c r="F113" s="270" t="s">
        <v>480</v>
      </c>
      <c r="G113" s="261">
        <f>((D111+D112))/(110)</f>
        <v>53.223451910408436</v>
      </c>
    </row>
    <row r="114" spans="1:7" x14ac:dyDescent="0.2">
      <c r="A114" s="262" t="s">
        <v>440</v>
      </c>
      <c r="B114" s="262">
        <f>B111+B112-B113</f>
        <v>40</v>
      </c>
      <c r="C114" s="262">
        <f>C113</f>
        <v>53.223451910408436</v>
      </c>
      <c r="D114" s="262">
        <f>B114*C114</f>
        <v>2128.9380764163375</v>
      </c>
      <c r="F114" s="272" t="s">
        <v>481</v>
      </c>
    </row>
    <row r="117" spans="1:7" x14ac:dyDescent="0.2">
      <c r="A117" s="262" t="s">
        <v>453</v>
      </c>
      <c r="B117" s="262" t="s">
        <v>427</v>
      </c>
      <c r="C117" s="262" t="s">
        <v>428</v>
      </c>
      <c r="D117" s="262" t="s">
        <v>429</v>
      </c>
    </row>
    <row r="118" spans="1:7" x14ac:dyDescent="0.2">
      <c r="A118" s="262" t="s">
        <v>435</v>
      </c>
      <c r="B118" s="262">
        <v>120</v>
      </c>
      <c r="C118" s="262">
        <v>18.600000000000001</v>
      </c>
      <c r="D118" s="262">
        <v>2232</v>
      </c>
    </row>
    <row r="119" spans="1:7" x14ac:dyDescent="0.2">
      <c r="A119" s="262" t="s">
        <v>459</v>
      </c>
      <c r="B119" s="262">
        <v>200</v>
      </c>
      <c r="C119" s="262">
        <f>C105</f>
        <v>29.350797101449274</v>
      </c>
      <c r="D119" s="262">
        <f>C103</f>
        <v>5870.159420289855</v>
      </c>
    </row>
    <row r="120" spans="1:7" x14ac:dyDescent="0.2">
      <c r="A120" s="132" t="s">
        <v>460</v>
      </c>
      <c r="B120" s="132">
        <v>160</v>
      </c>
      <c r="C120" s="132">
        <f>(D118+D119)/(B118+B119)</f>
        <v>25.319248188405798</v>
      </c>
      <c r="D120" s="132">
        <f>B120*C120</f>
        <v>4051.0797101449275</v>
      </c>
    </row>
    <row r="121" spans="1:7" x14ac:dyDescent="0.2">
      <c r="A121" s="262" t="s">
        <v>440</v>
      </c>
      <c r="B121" s="262">
        <f>B118+B119-B120</f>
        <v>160</v>
      </c>
      <c r="C121" s="262">
        <f>C120</f>
        <v>25.319248188405798</v>
      </c>
      <c r="D121" s="262">
        <f>B121*C121</f>
        <v>4051.0797101449275</v>
      </c>
    </row>
    <row r="124" spans="1:7" x14ac:dyDescent="0.2">
      <c r="A124" s="262" t="s">
        <v>461</v>
      </c>
      <c r="B124" s="466" t="s">
        <v>444</v>
      </c>
      <c r="C124" s="467"/>
      <c r="D124" s="466" t="s">
        <v>445</v>
      </c>
      <c r="E124" s="467"/>
      <c r="F124" s="262"/>
    </row>
    <row r="125" spans="1:7" x14ac:dyDescent="0.2">
      <c r="A125" s="262"/>
      <c r="B125" s="262" t="s">
        <v>462</v>
      </c>
      <c r="C125" s="262" t="s">
        <v>463</v>
      </c>
      <c r="D125" s="262" t="s">
        <v>462</v>
      </c>
      <c r="E125" s="262" t="s">
        <v>463</v>
      </c>
      <c r="F125" s="262" t="s">
        <v>464</v>
      </c>
    </row>
    <row r="126" spans="1:7" x14ac:dyDescent="0.2">
      <c r="A126" s="262" t="s">
        <v>465</v>
      </c>
      <c r="B126" s="262">
        <f>B113*50</f>
        <v>3500</v>
      </c>
      <c r="C126" s="262"/>
      <c r="D126" s="262">
        <f>B120*E126</f>
        <v>4800</v>
      </c>
      <c r="E126" s="262">
        <v>30</v>
      </c>
      <c r="F126" s="262">
        <f>B126+D126</f>
        <v>8300</v>
      </c>
    </row>
    <row r="127" spans="1:7" x14ac:dyDescent="0.2">
      <c r="A127" s="262" t="s">
        <v>466</v>
      </c>
      <c r="B127" s="262">
        <f>D113</f>
        <v>3725.6416337285905</v>
      </c>
      <c r="C127" s="262"/>
      <c r="D127" s="262">
        <f>D120</f>
        <v>4051.0797101449275</v>
      </c>
      <c r="E127" s="262">
        <v>18.600000000000001</v>
      </c>
      <c r="F127" s="262">
        <f>B127+D127</f>
        <v>7776.721343873518</v>
      </c>
    </row>
    <row r="128" spans="1:7" x14ac:dyDescent="0.2">
      <c r="A128" s="262" t="s">
        <v>467</v>
      </c>
      <c r="B128" s="262">
        <f>B126-B127</f>
        <v>-225.64163372859048</v>
      </c>
      <c r="C128" s="262"/>
      <c r="D128" s="262">
        <f>D126-D127</f>
        <v>748.9202898550725</v>
      </c>
      <c r="E128" s="262">
        <v>11.4</v>
      </c>
      <c r="F128" s="262">
        <f>F126-F127</f>
        <v>523.27865612648202</v>
      </c>
    </row>
  </sheetData>
  <mergeCells count="4">
    <mergeCell ref="B45:C45"/>
    <mergeCell ref="D45:E45"/>
    <mergeCell ref="B124:C124"/>
    <mergeCell ref="D124:E1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22</vt:i4>
      </vt:variant>
    </vt:vector>
  </HeadingPairs>
  <TitlesOfParts>
    <vt:vector size="22" baseType="lpstr">
      <vt:lpstr>Hoja1</vt:lpstr>
      <vt:lpstr>HERMES </vt:lpstr>
      <vt:lpstr>HEFESO</vt:lpstr>
      <vt:lpstr>SUP 3</vt:lpstr>
      <vt:lpstr>AUDITORIA XX</vt:lpstr>
      <vt:lpstr>MERCADOTECNIA</vt:lpstr>
      <vt:lpstr>SEÑOR LOPEZ</vt:lpstr>
      <vt:lpstr>ACADEMIA DE IDIOMAS </vt:lpstr>
      <vt:lpstr>NUEVE B</vt:lpstr>
      <vt:lpstr>AHUMADOS</vt:lpstr>
      <vt:lpstr>DULCESA</vt:lpstr>
      <vt:lpstr>FABRITEX</vt:lpstr>
      <vt:lpstr>CATERING</vt:lpstr>
      <vt:lpstr>KEISA</vt:lpstr>
      <vt:lpstr>BBB</vt:lpstr>
      <vt:lpstr>RINGSA</vt:lpstr>
      <vt:lpstr>CA</vt:lpstr>
      <vt:lpstr>FORINTOS </vt:lpstr>
      <vt:lpstr>VIUDO ALEGRE </vt:lpstr>
      <vt:lpstr>CARALINDA</vt:lpstr>
      <vt:lpstr>BOMBAS CANALS</vt:lpstr>
      <vt:lpstr>Hoja5</vt:lpstr>
    </vt:vector>
  </TitlesOfParts>
  <Company>Centro Universitario Villanueva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rmiranda</dc:creator>
  <cp:lastModifiedBy>Microsoft Office User</cp:lastModifiedBy>
  <cp:lastPrinted>2014-02-25T10:14:18Z</cp:lastPrinted>
  <dcterms:created xsi:type="dcterms:W3CDTF">2008-03-13T12:20:11Z</dcterms:created>
  <dcterms:modified xsi:type="dcterms:W3CDTF">2021-04-06T12:27:38Z</dcterms:modified>
</cp:coreProperties>
</file>